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865" windowHeight="7815" activeTab="0"/>
  </bookViews>
  <sheets>
    <sheet name="Ajuda" sheetId="1" r:id="rId1"/>
    <sheet name="Simular IRS 2012" sheetId="2" r:id="rId2"/>
    <sheet name="Cálculo" sheetId="3" r:id="rId3"/>
    <sheet name="Informação" sheetId="4" r:id="rId4"/>
    <sheet name="Informação Legal" sheetId="5" r:id="rId5"/>
    <sheet name="Disclaimer" sheetId="6" r:id="rId6"/>
    <sheet name="AUXILIAR" sheetId="7" state="hidden" r:id="rId7"/>
  </sheets>
  <definedNames>
    <definedName name="_xlfn.IFERROR" hidden="1">#NAME?</definedName>
    <definedName name="_xlnm.Print_Area" localSheetId="0">'Ajuda'!$A$1:$D$96</definedName>
    <definedName name="_xlnm.Print_Area" localSheetId="6">'AUXILIAR'!$A$1:$K$64</definedName>
    <definedName name="_xlnm.Print_Area" localSheetId="2">'Cálculo'!$B$7:$L$59</definedName>
    <definedName name="_xlnm.Print_Area" localSheetId="5">'Disclaimer'!$B$7:$L$63</definedName>
    <definedName name="_xlnm.Print_Area" localSheetId="3">'Informação'!$A$1:$E$60</definedName>
    <definedName name="_xlnm.Print_Area" localSheetId="4">'Informação Legal'!$B$7:$L$26</definedName>
    <definedName name="_xlnm.Print_Area" localSheetId="1">'Simular IRS 2012'!$A$1:$Q$132</definedName>
    <definedName name="Z_3C8D6C04_D0B9_42A9_BB67_2D57FFC3AA10_.wvu.PrintArea" localSheetId="0" hidden="1">'Ajuda'!$B$7:$L$62</definedName>
    <definedName name="Z_3C8D6C04_D0B9_42A9_BB67_2D57FFC3AA10_.wvu.PrintArea" localSheetId="6" hidden="1">'AUXILIAR'!$A$1:$M$64</definedName>
    <definedName name="Z_3C8D6C04_D0B9_42A9_BB67_2D57FFC3AA10_.wvu.PrintArea" localSheetId="2" hidden="1">'Cálculo'!$B$7:$L$59</definedName>
    <definedName name="Z_3C8D6C04_D0B9_42A9_BB67_2D57FFC3AA10_.wvu.PrintArea" localSheetId="5" hidden="1">'Disclaimer'!$B$7:$L$63</definedName>
    <definedName name="Z_3C8D6C04_D0B9_42A9_BB67_2D57FFC3AA10_.wvu.PrintArea" localSheetId="3" hidden="1">'Informação'!$A$1:$E$60</definedName>
    <definedName name="Z_3C8D6C04_D0B9_42A9_BB67_2D57FFC3AA10_.wvu.PrintArea" localSheetId="4" hidden="1">'Informação Legal'!$B$7:$L$26</definedName>
    <definedName name="Z_3C8D6C04_D0B9_42A9_BB67_2D57FFC3AA10_.wvu.PrintArea" localSheetId="1" hidden="1">'Simular IRS 2012'!$A$5:$Q$132</definedName>
    <definedName name="Z_3C8D6C04_D0B9_42A9_BB67_2D57FFC3AA10_.wvu.Rows" localSheetId="6" hidden="1">'AUXILIAR'!$60:$61</definedName>
    <definedName name="Z_3C8D6C04_D0B9_42A9_BB67_2D57FFC3AA10_.wvu.Rows" localSheetId="2" hidden="1">'Cálculo'!$13:$16,'Cálculo'!$19:$21,'Cálculo'!$27:$39,'Cálculo'!$42:$47,'Cálculo'!$49:$52</definedName>
    <definedName name="Z_3C8D6C04_D0B9_42A9_BB67_2D57FFC3AA10_.wvu.Rows" localSheetId="1" hidden="1">'Simular IRS 2012'!$92:$121</definedName>
  </definedNames>
  <calcPr fullCalcOnLoad="1"/>
</workbook>
</file>

<file path=xl/sharedStrings.xml><?xml version="1.0" encoding="utf-8"?>
<sst xmlns="http://schemas.openxmlformats.org/spreadsheetml/2006/main" count="508" uniqueCount="344">
  <si>
    <t>DIGITE OS SEGUINTES ELEMENTOS:</t>
  </si>
  <si>
    <t>0=Solteiro, viúvo, divorciado</t>
  </si>
  <si>
    <t>Trabalho Dependente</t>
  </si>
  <si>
    <t>Trabalho Independente</t>
  </si>
  <si>
    <t>Rendimentos Prediais</t>
  </si>
  <si>
    <t>Pensões</t>
  </si>
  <si>
    <t>1=Casado, unido de facto</t>
  </si>
  <si>
    <t>Despesas de educação</t>
  </si>
  <si>
    <t>- Rendimentos de pensões</t>
  </si>
  <si>
    <t>DESCRIÇÃO</t>
  </si>
  <si>
    <t>RENDIMENTO BRUTO</t>
  </si>
  <si>
    <t>DEDUÇÃO ESPECÍFICA</t>
  </si>
  <si>
    <t>RENDIMENTO LÍQUIDO</t>
  </si>
  <si>
    <t>CÁLCULO DE IMPOSTO</t>
  </si>
  <si>
    <t>COEFICIENTE CONJUGAL</t>
  </si>
  <si>
    <t xml:space="preserve">     TAXA APLICÁVEL</t>
  </si>
  <si>
    <t xml:space="preserve">     PARCELA A ABATER</t>
  </si>
  <si>
    <t xml:space="preserve">     SUB-TOTAL</t>
  </si>
  <si>
    <t>IMPOSTO APURADO</t>
  </si>
  <si>
    <t>Despesas de saúde</t>
  </si>
  <si>
    <t>Despesas incorridas</t>
  </si>
  <si>
    <t>30% das Despesas incorridas</t>
  </si>
  <si>
    <t>Limite da dedução</t>
  </si>
  <si>
    <t>Encargos com imóveis</t>
  </si>
  <si>
    <t>- Rendimento do trabalho dependente</t>
  </si>
  <si>
    <t>- Rendimento do trabalho independente</t>
  </si>
  <si>
    <t>Escalões</t>
  </si>
  <si>
    <t>Taxas</t>
  </si>
  <si>
    <t>Parcela abater</t>
  </si>
  <si>
    <t>Deduções pessoais</t>
  </si>
  <si>
    <t>Casado</t>
  </si>
  <si>
    <t>Solteiro</t>
  </si>
  <si>
    <t xml:space="preserve">         - DESPESAS DE SAUDE</t>
  </si>
  <si>
    <t xml:space="preserve">         - DESPESAS DE EDUCAÇÃO</t>
  </si>
  <si>
    <t>30% das despesas</t>
  </si>
  <si>
    <t xml:space="preserve">Limite dos Benefícios Fiscais dedutiveis à Colecta </t>
  </si>
  <si>
    <t>Rendimento Líquido</t>
  </si>
  <si>
    <t>Limite</t>
  </si>
  <si>
    <t>Contabilidade Organizada</t>
  </si>
  <si>
    <t>Regime Simplificado</t>
  </si>
  <si>
    <t>Prestação de serviços</t>
  </si>
  <si>
    <t>Rendimento do trabalho dependente do sujeito passivo A</t>
  </si>
  <si>
    <t>Contribuições obrigatórias para a SS</t>
  </si>
  <si>
    <t>Dedução mínima prevista para rendimentos da categoria</t>
  </si>
  <si>
    <t>Dedução aplicável</t>
  </si>
  <si>
    <t>TOTAL</t>
  </si>
  <si>
    <t>RENDIMENTO BRUTO DA CATEGORIA B</t>
  </si>
  <si>
    <t>TOTAL SP A+B</t>
  </si>
  <si>
    <t>Rendimento de pensões do sujeito passivo A</t>
  </si>
  <si>
    <t xml:space="preserve">Dedução prevista até </t>
  </si>
  <si>
    <t xml:space="preserve">Dedução limitada apartir de rendimentos superiores a </t>
  </si>
  <si>
    <t>RENDIMENTO BRUTO DA CATEGORIA</t>
  </si>
  <si>
    <t xml:space="preserve">DEDUÇÃO ESPECÍFICA AOS REND. CATEGORIA </t>
  </si>
  <si>
    <t>Dedução aplicada</t>
  </si>
  <si>
    <t>Seguros de saúde</t>
  </si>
  <si>
    <t>PPR</t>
  </si>
  <si>
    <t>Limite da soma das Deduções à Colecta (1)</t>
  </si>
  <si>
    <t xml:space="preserve">         - SEGUROS DE SAÚDE</t>
  </si>
  <si>
    <t>Sujeito Passivo A</t>
  </si>
  <si>
    <t>Sujeito Passivo B</t>
  </si>
  <si>
    <t>Trabalho dependente</t>
  </si>
  <si>
    <t>Vendas</t>
  </si>
  <si>
    <t>DEDUÇÕES À COLECTA</t>
  </si>
  <si>
    <t>RENDIMENTOS AUFERIDOS</t>
  </si>
  <si>
    <t>Vendas  (20%)</t>
  </si>
  <si>
    <t>Prestação de Serviços  (70%)</t>
  </si>
  <si>
    <t>Sujeito Passivo A + B</t>
  </si>
  <si>
    <t>Rendimento de pensões do sujeito passivo B</t>
  </si>
  <si>
    <t>20% das despesas</t>
  </si>
  <si>
    <t>faixa etária</t>
  </si>
  <si>
    <t>Lim. Ded.</t>
  </si>
  <si>
    <t>Total das deduções c/ PPRS</t>
  </si>
  <si>
    <t>N/A</t>
  </si>
  <si>
    <t xml:space="preserve">         - PPR'S</t>
  </si>
  <si>
    <t>Nº de dependentes com &lt;= 3 anos</t>
  </si>
  <si>
    <t>Nº de dependentes com &gt; 3 anos</t>
  </si>
  <si>
    <t>RETENÇÕES NA FONTE</t>
  </si>
  <si>
    <t>1.666% do rendimento colectável</t>
  </si>
  <si>
    <t>- Rendimentos prediais</t>
  </si>
  <si>
    <t>Rendimentos predias</t>
  </si>
  <si>
    <t>Deduções aos rendimentos da Categoria</t>
  </si>
  <si>
    <t>Dependentes &lt;= 3 anos</t>
  </si>
  <si>
    <t>Dependentes &gt; 3 anos</t>
  </si>
  <si>
    <t>Rendimento do trabalho dependente do sujeito passivo B</t>
  </si>
  <si>
    <t>VALOR FINAL</t>
  </si>
  <si>
    <t xml:space="preserve">     REEMBOLSO</t>
  </si>
  <si>
    <t xml:space="preserve">     IMPOSTO A PAGAR</t>
  </si>
  <si>
    <t>A</t>
  </si>
  <si>
    <t>B</t>
  </si>
  <si>
    <t>C</t>
  </si>
  <si>
    <t>D</t>
  </si>
  <si>
    <t>COLECTA LÍQUIDA</t>
  </si>
  <si>
    <t>Número de Filhos</t>
  </si>
  <si>
    <t>Não aplicável</t>
  </si>
  <si>
    <t>Despesas de sáude</t>
  </si>
  <si>
    <t>- Deduções ao rendimento do trabalho dependente</t>
  </si>
  <si>
    <t>- Deduções ao rendimento do trabalho independente</t>
  </si>
  <si>
    <t>- Deduções aos rendimentos prediais</t>
  </si>
  <si>
    <t>- Deduções aos rendimentos de pensões</t>
  </si>
  <si>
    <t>1</t>
  </si>
  <si>
    <t>Nº total de dependentes</t>
  </si>
  <si>
    <t>COLECTA</t>
  </si>
  <si>
    <t>7º Escalão</t>
  </si>
  <si>
    <t>LINKED CELL</t>
  </si>
  <si>
    <t>Estado Civil</t>
  </si>
  <si>
    <t>Idade Sujeito Passivo A</t>
  </si>
  <si>
    <t>Idade Sujeito Passivo B</t>
  </si>
  <si>
    <t>Filhos &gt;3</t>
  </si>
  <si>
    <t>Filhos &lt;=3</t>
  </si>
  <si>
    <t>Idades Sujeitos Passivos</t>
  </si>
  <si>
    <t>Taxas de Imposto</t>
  </si>
  <si>
    <t>% das depesas aceites</t>
  </si>
  <si>
    <t>Assumindo</t>
  </si>
  <si>
    <t>&gt;3</t>
  </si>
  <si>
    <t>&lt;=3</t>
  </si>
  <si>
    <t>Seguros de Saúde</t>
  </si>
  <si>
    <t>BENEFÍCIOS FISCAIS</t>
  </si>
  <si>
    <t>Dependentes</t>
  </si>
  <si>
    <t>Idade do sujeito passivo</t>
  </si>
  <si>
    <t>Tabela Auxiliar</t>
  </si>
  <si>
    <t>Rendimento</t>
  </si>
  <si>
    <t>RENDIMENTO</t>
  </si>
  <si>
    <t>Pessoal</t>
  </si>
  <si>
    <t>Percentagem</t>
  </si>
  <si>
    <t>Percentagem da IAS</t>
  </si>
  <si>
    <t>Acréscimo por dependente</t>
  </si>
  <si>
    <t>SOBRETAXA</t>
  </si>
  <si>
    <t>TAXA DE SOLIDARIEDADE</t>
  </si>
  <si>
    <t>Colecta</t>
  </si>
  <si>
    <t>Limite 2011</t>
  </si>
  <si>
    <t>Limite 2012</t>
  </si>
  <si>
    <t>ESTIMATIVA DE IMPOSTO</t>
  </si>
  <si>
    <t>VISUAL BASIC</t>
  </si>
  <si>
    <t>IAS</t>
  </si>
  <si>
    <t xml:space="preserve">         - PENSÕES DE ALIMENTOS</t>
  </si>
  <si>
    <t>Pensões de alimentos mensal</t>
  </si>
  <si>
    <t>Número de beneficiários</t>
  </si>
  <si>
    <t>Pensão de alimentos anual</t>
  </si>
  <si>
    <t>% dedutível</t>
  </si>
  <si>
    <t>Limite mensal por beneficiário</t>
  </si>
  <si>
    <t>Limite de dedução</t>
  </si>
  <si>
    <t>Dedução efectuada</t>
  </si>
  <si>
    <t>Pensões de alimentos</t>
  </si>
  <si>
    <t xml:space="preserve"> </t>
  </si>
  <si>
    <t xml:space="preserve">         - DONATIVOS</t>
  </si>
  <si>
    <t>DEDUÇÕES PESSOAIS</t>
  </si>
  <si>
    <t xml:space="preserve">Energias Renováveis </t>
  </si>
  <si>
    <t>% dedutivel</t>
  </si>
  <si>
    <t xml:space="preserve">Dedução efectuada </t>
  </si>
  <si>
    <t>Energias Renováveis</t>
  </si>
  <si>
    <t>Donativos</t>
  </si>
  <si>
    <t xml:space="preserve">Donativos </t>
  </si>
  <si>
    <t>Majoração</t>
  </si>
  <si>
    <t>Encargos com Lares</t>
  </si>
  <si>
    <t>RMMG 2011</t>
  </si>
  <si>
    <t>RMMG 2010</t>
  </si>
  <si>
    <t>Titular A</t>
  </si>
  <si>
    <t>Titular B</t>
  </si>
  <si>
    <t>IAS 2010</t>
  </si>
  <si>
    <t>ANO 2012</t>
  </si>
  <si>
    <t>Rendimento Líquido/Colectável</t>
  </si>
  <si>
    <t>Sobretaxa a pagar (3.5%)</t>
  </si>
  <si>
    <t>Sobretaxa Extraordinária</t>
  </si>
  <si>
    <t>DEDUÇÕES EBF</t>
  </si>
  <si>
    <t xml:space="preserve">         - ENCARGOS COM LARES</t>
  </si>
  <si>
    <t xml:space="preserve">         - ENERGIAS RENOVÁVEIS</t>
  </si>
  <si>
    <t>Solteiro / Viúvo / Divorciado</t>
  </si>
  <si>
    <t>Casado / Unido de Facto</t>
  </si>
  <si>
    <t>Separado de Facto</t>
  </si>
  <si>
    <t>2=Separado de facto</t>
  </si>
  <si>
    <t>Encargos com rendas</t>
  </si>
  <si>
    <t>Continente</t>
  </si>
  <si>
    <t>Açores</t>
  </si>
  <si>
    <t>Madeira</t>
  </si>
  <si>
    <t>Residência</t>
  </si>
  <si>
    <t>Monoparental</t>
  </si>
  <si>
    <t>2=Madeira</t>
  </si>
  <si>
    <t>1=Continente</t>
  </si>
  <si>
    <t>0=Açores</t>
  </si>
  <si>
    <t>Despesas incorridas Capital</t>
  </si>
  <si>
    <t>Despesas incorridas Juro</t>
  </si>
  <si>
    <t>Conheça a nossa estimativa de imposto</t>
  </si>
  <si>
    <t>Variação</t>
  </si>
  <si>
    <t>Rendimento colectável</t>
  </si>
  <si>
    <t>Coeficiente conjugal</t>
  </si>
  <si>
    <t>Taxa marginal aplicável</t>
  </si>
  <si>
    <t>Imposto antes de deduções</t>
  </si>
  <si>
    <t>Beneficios Fiscais</t>
  </si>
  <si>
    <t xml:space="preserve">        Aplicação em PPR</t>
  </si>
  <si>
    <t>Subtotal</t>
  </si>
  <si>
    <t xml:space="preserve">Imposto final </t>
  </si>
  <si>
    <t xml:space="preserve">Retenções na fonte </t>
  </si>
  <si>
    <t>Simulador desenvolvido por:</t>
  </si>
  <si>
    <t>Nº de beneficiários</t>
  </si>
  <si>
    <t>Despesas com imóveis</t>
  </si>
  <si>
    <t>Nº de dependentes com despesas de educação</t>
  </si>
  <si>
    <t>DEDUÇÕES</t>
  </si>
  <si>
    <t>PENSÕES</t>
  </si>
  <si>
    <t>Segurança Social</t>
  </si>
  <si>
    <t>Rendimento do trabalho dependente</t>
  </si>
  <si>
    <t>RENDIMENTO PREDIAL</t>
  </si>
  <si>
    <t>RENDIMENTO DO TRABALHO INDEPENDENTE</t>
  </si>
  <si>
    <t>RENDIMENTO DO TRABALHO DEPENDENTE</t>
  </si>
  <si>
    <t>SUJEITO PASSIVO B</t>
  </si>
  <si>
    <t>SUJEITO PASSIVO A</t>
  </si>
  <si>
    <t>Estado civil</t>
  </si>
  <si>
    <t>Campos de preenchimento obrigatório</t>
  </si>
  <si>
    <t>DADOS DO AGREGADO</t>
  </si>
  <si>
    <t xml:space="preserve">  Nº de dependentes com despesas de educação</t>
  </si>
  <si>
    <t xml:space="preserve">  Capital</t>
  </si>
  <si>
    <t xml:space="preserve">  Juros</t>
  </si>
  <si>
    <t xml:space="preserve">      Despesas manutenção e conservação + IMI</t>
  </si>
  <si>
    <t>Encargos com lares</t>
  </si>
  <si>
    <t>Rendimento predial</t>
  </si>
  <si>
    <r>
      <t xml:space="preserve">Contabilidade organizada </t>
    </r>
    <r>
      <rPr>
        <sz val="10"/>
        <color indexed="8"/>
        <rFont val="Georgia"/>
        <family val="1"/>
      </rPr>
      <t>- Lucro tributável</t>
    </r>
  </si>
  <si>
    <t>Dedução Sobretaxa (nº titulares x RMMG x14)</t>
  </si>
  <si>
    <t>Rendimento para efeito da Sobretaxa (1-2)</t>
  </si>
  <si>
    <t>Efeito do agregado familiar (RMMG x nº dependentes x 2.5%)</t>
  </si>
  <si>
    <t>(1)</t>
  </si>
  <si>
    <t>Não se encontra sujeito, uma vez que não se encontra no último escalão de rendimentos ( &gt; 153300 euros)</t>
  </si>
  <si>
    <t>(Rendimento colectavel - 153.300 euros) x 2.5% x nº titulares</t>
  </si>
  <si>
    <t>Sobretaxa Final a pagar (3.5%)</t>
  </si>
  <si>
    <t>●  Este limite é elevado em 142,50 Euros, por cada dependente, desde que o número de filhos dependentes seja de três ou mais e existam, relativamente a todos eles, despesas de educação ou formação.</t>
  </si>
  <si>
    <t xml:space="preserve">●  25% das despesas com lares de terceira idade relativas aos sujeitos passivos, seus ascendentes e colaterais até ao 3º grau que não possuam rendimentos superiores ao salário mínimo nacional (475 Euros por mês) com o limite de 403,75 Euros.  </t>
  </si>
  <si>
    <t>●  25% dos donativos destinados a igrejas, instituiçoes religiosas, instituições de caridade, museus, escolas, bibliotecas e outras entidades de cariz social, cultural ou científico reconhecidas pelo Estado, até ao limite de 15% da colecta.</t>
  </si>
  <si>
    <t xml:space="preserve">●  20% dos valores aplicados no respectivo ano por sujeito passivo, com o limite máximo:                              
</t>
  </si>
  <si>
    <r>
      <t xml:space="preserve">            </t>
    </r>
    <r>
      <rPr>
        <sz val="11"/>
        <rFont val="Wingdings"/>
        <family val="0"/>
      </rPr>
      <t></t>
    </r>
    <r>
      <rPr>
        <sz val="11"/>
        <rFont val="Georgia"/>
        <family val="1"/>
      </rPr>
      <t xml:space="preserve"> 400 Euros por sujeito passivo com idade inferior a 35 anos;                                  </t>
    </r>
  </si>
  <si>
    <r>
      <t xml:space="preserve">            </t>
    </r>
    <r>
      <rPr>
        <sz val="11"/>
        <rFont val="Wingdings"/>
        <family val="0"/>
      </rPr>
      <t></t>
    </r>
    <r>
      <rPr>
        <sz val="11"/>
        <rFont val="Georgia"/>
        <family val="1"/>
      </rPr>
      <t xml:space="preserve"> 350 Euros por sujeito passivo com idade compreendida entre os 35 e os 50 anos;                                                                        </t>
    </r>
  </si>
  <si>
    <r>
      <t xml:space="preserve">            </t>
    </r>
    <r>
      <rPr>
        <sz val="11"/>
        <rFont val="Wingdings"/>
        <family val="0"/>
      </rPr>
      <t></t>
    </r>
    <r>
      <rPr>
        <sz val="11"/>
        <rFont val="Georgia"/>
        <family val="1"/>
      </rPr>
      <t xml:space="preserve"> 300 Euros por sujeito passivo com idade inferior a 50 anos;                                                                        </t>
    </r>
  </si>
  <si>
    <t>Despesas com rendas</t>
  </si>
  <si>
    <t>(2) Limite do 8º escalão de rendimento</t>
  </si>
  <si>
    <t>(3) Rendimento para efeito de taxa de solidariedade</t>
  </si>
  <si>
    <t>(4) Sobretaxa (3.5%)</t>
  </si>
  <si>
    <t>(6) Sobretaxa a pagar</t>
  </si>
  <si>
    <t>Regime Simplificado / Acto Isolado</t>
  </si>
  <si>
    <t>Disclaimers</t>
  </si>
  <si>
    <t>Encargos com donativos</t>
  </si>
  <si>
    <t>● Despesas incorridas pelos ascendentes, desde que estes tenham um rendimento inferior ao salário mínimo nacional (485 Euros por mês) e juros de dívidas contraídas para o pagamento das referidas despesas;</t>
  </si>
  <si>
    <t>●  Estes limites são elevados em 25 Euros por cada filho dependente.</t>
  </si>
  <si>
    <t>●  20% dos encargos com pensões de alimentos, desde que resultantes de sentença judicial ou acordo judicialmente homologado,com o limite de 419,22 Euros por mês e por beneficiário.</t>
  </si>
  <si>
    <t>Sem limite</t>
  </si>
  <si>
    <t xml:space="preserve"> ● As deduções à colecta incluem: despesas de saúde, educação e formação, encargos com lares, encargos com imóveis e pensões de alimentos;</t>
  </si>
  <si>
    <t xml:space="preserve"> ● Estes limites são majorados em 10% por cada dependente que não seja sujeito passivo de IRS</t>
  </si>
  <si>
    <t>Limite 15% da colecta</t>
  </si>
  <si>
    <t>0 - 34 anos</t>
  </si>
  <si>
    <t>SOMA DAS DEDUÇÕES COM BENEFÍCIOS FISCAIS</t>
  </si>
  <si>
    <t>LIMITE DA DEDUÇÃO PARA O ESCALÃO DE RENDIMENTO</t>
  </si>
  <si>
    <t>SOMA DAS DEDUÇÕES (saúde+educação+C.Hab+pensões de alimentos)</t>
  </si>
  <si>
    <t>Limite das deduções conjuntas de encargos com imóveis e rendas</t>
  </si>
  <si>
    <t>Limite da dedução com imóveis</t>
  </si>
  <si>
    <t>Dedução aplicada com imóveis</t>
  </si>
  <si>
    <t>Limite da dedução com rendas</t>
  </si>
  <si>
    <t>Dedução aplicada com rendas</t>
  </si>
  <si>
    <t>Dedução conjunta aplicada</t>
  </si>
  <si>
    <t xml:space="preserve">           (1)</t>
  </si>
  <si>
    <t>(1) Em 2011 as pensões de alimentos não concorrem para os limites das deduções à colecta</t>
  </si>
  <si>
    <t xml:space="preserve">         - ENCARGOS COM RENDAS (*)</t>
  </si>
  <si>
    <t xml:space="preserve">  Nº de beneficiários (preenchimento obrigatório)</t>
  </si>
  <si>
    <r>
      <t xml:space="preserve"> Idade do Sujeito Passivo A (</t>
    </r>
    <r>
      <rPr>
        <sz val="8"/>
        <color indexed="8"/>
        <rFont val="Georgia"/>
        <family val="1"/>
      </rPr>
      <t>a 1 de Janeiro de 2012)</t>
    </r>
  </si>
  <si>
    <r>
      <t xml:space="preserve"> Idade do Sujeito Passivo B (</t>
    </r>
    <r>
      <rPr>
        <sz val="8"/>
        <color indexed="8"/>
        <rFont val="Georgia"/>
        <family val="1"/>
      </rPr>
      <t>a 1 de Janeiro de 2012)</t>
    </r>
  </si>
  <si>
    <t>Retenção na fonte</t>
  </si>
  <si>
    <t>Retenção na fonte / Pagamentos por conta</t>
  </si>
  <si>
    <t>Encargos com pensões de alimentos</t>
  </si>
  <si>
    <t xml:space="preserve">Despesas de saúde </t>
  </si>
  <si>
    <t xml:space="preserve">         - ENCARGOS COM IMÓVEIS E/OU RENDAS (*)</t>
  </si>
  <si>
    <t>Deduções à colecta</t>
  </si>
  <si>
    <t>Outras deduções à colecta</t>
  </si>
  <si>
    <t xml:space="preserve">        Prémio seguro de saúde</t>
  </si>
  <si>
    <t xml:space="preserve">        Encargos com donativos</t>
  </si>
  <si>
    <t>35 - 50 anos</t>
  </si>
  <si>
    <t>&gt; 50 anos</t>
  </si>
  <si>
    <t>(4) Taxa de solidariedade a pagar (2.5%)</t>
  </si>
  <si>
    <t>(5) Dedução por dependente (RMMG x nº dependentes x 2.5%)</t>
  </si>
  <si>
    <t xml:space="preserve">Rendimento colectável situado no 1º escalão                   
</t>
  </si>
  <si>
    <t xml:space="preserve">Rendimento colectável situado no 2º escalão                   
</t>
  </si>
  <si>
    <t xml:space="preserve">Rendimento colectável situado no 3º escalão                   
</t>
  </si>
  <si>
    <t>●  Nos agregados com três ou mais dependentes com despesas de saúde, o limite acima (838,44 Euros) é elevado em 125,77 Euros por cada depedente.</t>
  </si>
  <si>
    <t xml:space="preserve">Rendimento colectável situado no 4º escalão                   
</t>
  </si>
  <si>
    <t xml:space="preserve">Rendimento colectável situado no 5º escalão                   
</t>
  </si>
  <si>
    <t xml:space="preserve">Rendimento colectável situado no 6º escalão                   
</t>
  </si>
  <si>
    <t xml:space="preserve">Rendimento colectável situado no 7º escalão                   
</t>
  </si>
  <si>
    <t xml:space="preserve">Rendimento colectável situado no 8º escalão                   
</t>
  </si>
  <si>
    <t>Não se encontram contempladas situações de sujeitos passivos não residentes fiscais em Portugal.</t>
  </si>
  <si>
    <t>As simulações de imposto encontram-se limitadas às categorias de rendimentos e despesas incluídas no simulador.</t>
  </si>
  <si>
    <t>Assume-se que as taxas progressivas aplicáveis à Madeira manter-se-ão inalteradas relativamente ao ano de 2011, à semelhança do que se verificou para o Continente e Açores.</t>
  </si>
  <si>
    <t>Não são contempladas situações que incluam sujeitos passivos deficientes.</t>
  </si>
  <si>
    <t>O simulador não contempla situações de agregados com rendimentos inferiores ao mínimo de existência.</t>
  </si>
  <si>
    <t>Como dedução específica aos rendimentos da categoria A, apenas se encontram previstas as contribuições obrigatórias para regimes de protecção social e para subsistemas legais de saúde.</t>
  </si>
  <si>
    <t>O simulador não contempla a possibilidade de reporte de perdas de anos anteriores.</t>
  </si>
  <si>
    <t>Assume-se por defeito uma majoração de 130% dos encargos com donativos. No entanto, nota-se que a percentagem de majoração do encargo dependerá da natureza da entidade destinatária do mesmo (esta majoração poderá variar entre 120% e 140%).</t>
  </si>
  <si>
    <t>Soma das deduções ou limite</t>
  </si>
  <si>
    <t>Contribuições para Planos Poupança Reforma (PPR's)</t>
  </si>
  <si>
    <t>●  O primeiro limite é majorado em 50%, 20% e 10% para sujeitos passivos com rendimento colectável até 7.410 Euros, 18.375 Euros e 42.259 Euros, respectivamente ou 15% das rendas pagas ao abrigo do Regime do Arrendamento Urbano (RAU) para habitação permanente, com limite de 591 Euros.</t>
  </si>
  <si>
    <t xml:space="preserve">SIMULADOR </t>
  </si>
  <si>
    <t>A majoração por número de dependentes pressupõe que o seguro cobre tanto o sujeito(s) passivo(s) como todos os seus dependentes (se aplicável).</t>
  </si>
  <si>
    <t>Ajuda na execução das macros</t>
  </si>
  <si>
    <r>
      <t xml:space="preserve">Simulador de IRS para rendimentos obtidos no ano de 2012 </t>
    </r>
    <r>
      <rPr>
        <b/>
        <i/>
        <sz val="9"/>
        <color indexed="8"/>
        <rFont val="Georgia"/>
        <family val="1"/>
      </rPr>
      <t>(a declarar no ano de 2013)</t>
    </r>
  </si>
  <si>
    <t>O simulador não contempla situações de agregados familiares em que dependentes auferiram rendimentos.</t>
  </si>
  <si>
    <t>Rendimentos prediais / Rendimento do trabalho independente</t>
  </si>
  <si>
    <t>Planos de Poupança-Reforma</t>
  </si>
  <si>
    <t>Após a data de passagem à reforma as contribuições para planos de poupança-reforma deixam de ser dedutíveis à colecta, pelo que se auferir pensões de reforma ou velhice, não deverá indicar essas contribuições no simulador.</t>
  </si>
  <si>
    <t>Assume-se que o valor de despesas de saúde introduzidas se referem integralmente a despesas isentas de IVA ou 
sujeitas à taxa reduzida de IVA.</t>
  </si>
  <si>
    <t>Contribuições para Planos Poupança-Reforma (PPR's)</t>
  </si>
  <si>
    <t>Deduções específicas</t>
  </si>
  <si>
    <t>●  10% das despesas de saúde não reembolsadas sujeitas a IVA à taxa de 23%, suportadas por receita médica, com limite de 65 Euros ou 2.5% das despesas referidas acima, se superior;</t>
  </si>
  <si>
    <t>●  As despesas acima referidas não poderá exceder o montante de 838,44 Euros;</t>
  </si>
  <si>
    <t>●  30% das despesas de educação e formação, com o limite de 760 Euros;</t>
  </si>
  <si>
    <t>●  15% dos juros de empréstimos contraídos até 31 de Dezembro de 2011 para aquisição, construção ou beneficiação de habitação própria e permanente, com o limite de 591 Euros;</t>
  </si>
  <si>
    <t>●  10% dos prémios pagos, com os limites de 50 Euros para sujeitos passivos não casados ou separados judicialmente e de 100 Euros para casais;</t>
  </si>
  <si>
    <t>100,00 Euros</t>
  </si>
  <si>
    <t>80,00 Euros</t>
  </si>
  <si>
    <t>60,00 Euros</t>
  </si>
  <si>
    <t>50,00 Euros</t>
  </si>
  <si>
    <t>1.250,00 Euros</t>
  </si>
  <si>
    <t>1.200,00 Euros</t>
  </si>
  <si>
    <t>1.150,00 Euros</t>
  </si>
  <si>
    <t>1.100,00 Euros</t>
  </si>
  <si>
    <t>0 Euros</t>
  </si>
  <si>
    <t>Informação Legal</t>
  </si>
  <si>
    <t>O conteúdo deste simulador é meramente informativo, sendo a simulação da potencial responsabilidade fiscal em sede de IRS de natureza geral e abstracta, não tomando em conta todas as variáveis de que depende o efectivo IRS devido por cada sujeito passivo ou agregado familiar, razão pela qual a dívida final de imposto será necessariamente diversa daquela que seja aqui computada. A aplicação e impacto das leis dependem dos casos em concreto. Dada a natureza evolutiva das leis, normas e regulamentos, bem como as características e natureza da comunicação electrónica, poder-se-ão registar atrasos, omissões ou inexactidões em informações contidas no simulador. A informação neste simulador é fornecida no pressuposto de que não compete aos autores e publicadores prestar serviços jurídicos, de contabilidade, fiscais ou outro serviço profissional de aconselhamento. Por conseguinte não deve servir de base para qualquer tomada de decisão sem assistência profissional qualificada e dirigida ao caso concreto, nem dispensa a consulta das publicações oficiais.
A PwC exclui a sua responsabilidade por quaisquer danos que possam ocorrer relacionados com a informação contida neste simulador, nomeadamente por erros ou imprecisões de transcrição.
Em caso algum, a PwC ou qualquer entidade pertencente à network de empresas da PwC ou com ela relacionada, agentes ou colaboradores serão responsáveis perante o utilizador ou terceiros pelas decisões ou acções adoptadas por estes com base na informação veiculada pelo simulador ou por quaisquer danos específicos ou similares, mesmo após ter conhecimento dos possíveis danos daí decorrentes.</t>
  </si>
  <si>
    <t>Sobretaxa extraordinária</t>
  </si>
  <si>
    <t>Taxa de solidariedade</t>
  </si>
  <si>
    <t xml:space="preserve"> ● As deduções com benefícios fiscais incluem: seguros de saúde, PPR's, encargos com donativos.</t>
  </si>
  <si>
    <t>Assume-se para efeitos comparativos de estimativa de imposto que as circunstâncias do agregado se mantêm iguais para os dois anos (2012 e 2011).</t>
  </si>
  <si>
    <r>
      <t xml:space="preserve">Nº de dependentes com ≤ 3 anos </t>
    </r>
    <r>
      <rPr>
        <sz val="8"/>
        <color indexed="8"/>
        <rFont val="Georgia"/>
        <family val="1"/>
      </rPr>
      <t>(a 31 de Dezembro de 2012)</t>
    </r>
  </si>
  <si>
    <r>
      <t xml:space="preserve">Nº de dependentes com &gt; 3 anos </t>
    </r>
    <r>
      <rPr>
        <sz val="8"/>
        <color indexed="8"/>
        <rFont val="Georgia"/>
        <family val="1"/>
      </rPr>
      <t>(a 31 de Dezembro de 2012)</t>
    </r>
  </si>
  <si>
    <t>Despesas dedutíveis - Limites para 2012</t>
  </si>
  <si>
    <t>(1) Rendimento líquido/colectável</t>
  </si>
  <si>
    <t>(2) Dedução sobretaxa (nº titulares x RMMG x14)</t>
  </si>
  <si>
    <t>(3) Rendimento para efeito da sobretaxa (1-2)</t>
  </si>
  <si>
    <t>- Pensões</t>
  </si>
  <si>
    <t>Despesas com imóveis:</t>
  </si>
  <si>
    <t xml:space="preserve">    - Capital</t>
  </si>
  <si>
    <t xml:space="preserve">    - Juros</t>
  </si>
  <si>
    <t xml:space="preserve">       Despesas de saúde</t>
  </si>
  <si>
    <t xml:space="preserve">       Despesas de educação</t>
  </si>
  <si>
    <t xml:space="preserve">       Encargos com imóveis e/ou rendas</t>
  </si>
  <si>
    <r>
      <t xml:space="preserve">       Pensões de alimentos</t>
    </r>
    <r>
      <rPr>
        <vertAlign val="superscript"/>
        <sz val="10"/>
        <color indexed="8"/>
        <rFont val="Georgia"/>
        <family val="1"/>
      </rPr>
      <t>1</t>
    </r>
  </si>
  <si>
    <t xml:space="preserve">       Encargos com lares</t>
  </si>
  <si>
    <t>1 - Em 2011 as pensões de alimentos não concorrem para o limite à soma das deduções à colecta pelo que essa dedução acresce ao limite aplicável.</t>
  </si>
  <si>
    <t>Rendimento tributável</t>
  </si>
  <si>
    <t>Pressupõe-se que os dependentes indicados no simulador não estão sobre guarda partilhada.</t>
  </si>
  <si>
    <t>Pretende-se neste quadro medir o impacto na carga fiscal que advém estritamente das alterações legislativas
decorrentes da Lei do Orçamento do Estado para 2012, ignorando factores exógenos com impacto no cálculo, nomeadamente as variações verificadas na idade dos sujeitos passivos e seus dependentes, bem como alterações verificadas na própria constituição do agregado familiar de 2011 para 2012.</t>
  </si>
  <s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</sst>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0\)"/>
    <numFmt numFmtId="165" formatCode="#,##0.00_);\(#,##0.00\)"/>
    <numFmt numFmtId="166" formatCode="0_)"/>
    <numFmt numFmtId="167" formatCode="#,##0.00\ &quot;€&quot;"/>
    <numFmt numFmtId="168" formatCode="_-* #,##0.00\ [$€]_-;\-* #,##0.00\ [$€]_-;_-* &quot;-&quot;??\ [$€]_-;_-@_-"/>
    <numFmt numFmtId="169" formatCode=";;;"/>
    <numFmt numFmtId="170" formatCode="#,##0.00_)&quot;€&quot;;\(#,##0.00\)\ &quot;€&quot;"/>
    <numFmt numFmtId="171" formatCode="0_ ;\-0\ "/>
  </numFmts>
  <fonts count="131">
    <font>
      <sz val="11"/>
      <color theme="1"/>
      <name val="Arial"/>
      <family val="2"/>
    </font>
    <font>
      <sz val="11"/>
      <color indexed="8"/>
      <name val="Arial"/>
      <family val="2"/>
    </font>
    <font>
      <sz val="12"/>
      <name val="Arial MT"/>
      <family val="0"/>
    </font>
    <font>
      <sz val="12"/>
      <color indexed="8"/>
      <name val="Arial"/>
      <family val="2"/>
    </font>
    <font>
      <sz val="10"/>
      <name val="Arial"/>
      <family val="2"/>
    </font>
    <font>
      <b/>
      <sz val="12"/>
      <color indexed="8"/>
      <name val="Arial"/>
      <family val="2"/>
    </font>
    <font>
      <b/>
      <sz val="9"/>
      <color indexed="8"/>
      <name val="Arial"/>
      <family val="2"/>
    </font>
    <font>
      <sz val="9"/>
      <color indexed="8"/>
      <name val="Arial"/>
      <family val="2"/>
    </font>
    <font>
      <sz val="9"/>
      <name val="Arial"/>
      <family val="2"/>
    </font>
    <font>
      <b/>
      <sz val="9"/>
      <name val="Arial"/>
      <family val="2"/>
    </font>
    <font>
      <sz val="8"/>
      <color indexed="8"/>
      <name val="Arial"/>
      <family val="2"/>
    </font>
    <font>
      <b/>
      <sz val="11"/>
      <color indexed="8"/>
      <name val="Arial"/>
      <family val="2"/>
    </font>
    <font>
      <sz val="11"/>
      <name val="Georgia"/>
      <family val="1"/>
    </font>
    <font>
      <b/>
      <sz val="12"/>
      <name val="Arial"/>
      <family val="2"/>
    </font>
    <font>
      <b/>
      <sz val="11"/>
      <name val="Arial"/>
      <family val="2"/>
    </font>
    <font>
      <b/>
      <sz val="7"/>
      <color indexed="8"/>
      <name val="Arial"/>
      <family val="2"/>
    </font>
    <font>
      <sz val="10"/>
      <color indexed="8"/>
      <name val="Georgia"/>
      <family val="1"/>
    </font>
    <font>
      <b/>
      <sz val="20"/>
      <name val="Arial"/>
      <family val="2"/>
    </font>
    <font>
      <sz val="8"/>
      <color indexed="8"/>
      <name val="Georgia"/>
      <family val="1"/>
    </font>
    <font>
      <b/>
      <sz val="10"/>
      <name val="Georgia"/>
      <family val="1"/>
    </font>
    <font>
      <b/>
      <sz val="11"/>
      <name val="Georgia"/>
      <family val="1"/>
    </font>
    <font>
      <sz val="11"/>
      <color indexed="12"/>
      <name val="Georgia"/>
      <family val="1"/>
    </font>
    <font>
      <sz val="11"/>
      <name val="Wingdings"/>
      <family val="0"/>
    </font>
    <font>
      <sz val="12"/>
      <name val="Georgia"/>
      <family val="1"/>
    </font>
    <font>
      <vertAlign val="superscript"/>
      <sz val="10"/>
      <color indexed="8"/>
      <name val="Georgia"/>
      <family val="1"/>
    </font>
    <font>
      <sz val="8"/>
      <name val="Georgia"/>
      <family val="1"/>
    </font>
    <font>
      <b/>
      <i/>
      <sz val="9"/>
      <color indexed="8"/>
      <name val="Georgia"/>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0"/>
      <color indexed="8"/>
      <name val="Calibri"/>
      <family val="2"/>
    </font>
    <font>
      <b/>
      <sz val="11"/>
      <color indexed="63"/>
      <name val="Arial"/>
      <family val="2"/>
    </font>
    <font>
      <b/>
      <sz val="18"/>
      <color indexed="56"/>
      <name val="Cambria"/>
      <family val="2"/>
    </font>
    <font>
      <sz val="11"/>
      <color indexed="10"/>
      <name val="Arial"/>
      <family val="2"/>
    </font>
    <font>
      <sz val="9"/>
      <color indexed="9"/>
      <name val="Arial"/>
      <family val="2"/>
    </font>
    <font>
      <sz val="9"/>
      <color indexed="10"/>
      <name val="Arial"/>
      <family val="2"/>
    </font>
    <font>
      <b/>
      <sz val="10"/>
      <color indexed="8"/>
      <name val="Georgia"/>
      <family val="1"/>
    </font>
    <font>
      <b/>
      <sz val="9"/>
      <color indexed="9"/>
      <name val="Arial"/>
      <family val="2"/>
    </font>
    <font>
      <b/>
      <sz val="10"/>
      <color indexed="9"/>
      <name val="Georgia"/>
      <family val="1"/>
    </font>
    <font>
      <sz val="10"/>
      <color indexed="8"/>
      <name val="Cambria"/>
      <family val="1"/>
    </font>
    <font>
      <sz val="10"/>
      <color indexed="8"/>
      <name val="Arial"/>
      <family val="2"/>
    </font>
    <font>
      <b/>
      <sz val="10"/>
      <color indexed="8"/>
      <name val="Arial"/>
      <family val="2"/>
    </font>
    <font>
      <b/>
      <i/>
      <sz val="10"/>
      <color indexed="8"/>
      <name val="Georgia"/>
      <family val="1"/>
    </font>
    <font>
      <b/>
      <sz val="11"/>
      <color indexed="9"/>
      <name val="Georgia"/>
      <family val="1"/>
    </font>
    <font>
      <sz val="11"/>
      <color indexed="8"/>
      <name val="Georgia"/>
      <family val="1"/>
    </font>
    <font>
      <b/>
      <sz val="10"/>
      <color indexed="9"/>
      <name val="Arial"/>
      <family val="2"/>
    </font>
    <font>
      <b/>
      <i/>
      <sz val="16"/>
      <color indexed="8"/>
      <name val="Georgia"/>
      <family val="1"/>
    </font>
    <font>
      <sz val="16"/>
      <color indexed="8"/>
      <name val="Georgia"/>
      <family val="1"/>
    </font>
    <font>
      <sz val="16"/>
      <color indexed="8"/>
      <name val="Arial"/>
      <family val="2"/>
    </font>
    <font>
      <b/>
      <sz val="11"/>
      <color indexed="8"/>
      <name val="Georgia"/>
      <family val="1"/>
    </font>
    <font>
      <sz val="10"/>
      <color indexed="56"/>
      <name val="Georgia"/>
      <family val="1"/>
    </font>
    <font>
      <i/>
      <sz val="10"/>
      <color indexed="8"/>
      <name val="Georgia"/>
      <family val="1"/>
    </font>
    <font>
      <i/>
      <sz val="8"/>
      <color indexed="8"/>
      <name val="Georgia"/>
      <family val="1"/>
    </font>
    <font>
      <sz val="11"/>
      <color indexed="9"/>
      <name val="Georgia"/>
      <family val="1"/>
    </font>
    <font>
      <sz val="10"/>
      <color indexed="9"/>
      <name val="Georgia"/>
      <family val="1"/>
    </font>
    <font>
      <sz val="10"/>
      <color indexed="9"/>
      <name val="Arial"/>
      <family val="2"/>
    </font>
    <font>
      <sz val="12"/>
      <color indexed="10"/>
      <name val="Wingdings"/>
      <family val="0"/>
    </font>
    <font>
      <sz val="9"/>
      <color indexed="8"/>
      <name val="Georgia"/>
      <family val="1"/>
    </font>
    <font>
      <sz val="13"/>
      <color indexed="8"/>
      <name val="Georgia"/>
      <family val="1"/>
    </font>
    <font>
      <b/>
      <sz val="8"/>
      <color indexed="8"/>
      <name val="Georgia"/>
      <family val="1"/>
    </font>
    <font>
      <b/>
      <sz val="7"/>
      <color indexed="8"/>
      <name val="Georgia"/>
      <family val="1"/>
    </font>
    <font>
      <b/>
      <sz val="15"/>
      <color indexed="9"/>
      <name val="Georgia"/>
      <family val="0"/>
    </font>
    <font>
      <b/>
      <sz val="12.5"/>
      <color indexed="9"/>
      <name val="Georgia"/>
      <family val="0"/>
    </font>
    <font>
      <sz val="12.5"/>
      <color indexed="9"/>
      <name val="Georgia"/>
      <family val="0"/>
    </font>
    <font>
      <sz val="12.5"/>
      <color indexed="9"/>
      <name val="Calibri"/>
      <family val="0"/>
    </font>
    <font>
      <b/>
      <sz val="12"/>
      <color indexed="9"/>
      <name val="Georgia"/>
      <family val="0"/>
    </font>
    <font>
      <b/>
      <sz val="16"/>
      <color indexed="9"/>
      <name val="Georgia"/>
      <family val="0"/>
    </font>
    <font>
      <sz val="14"/>
      <color indexed="60"/>
      <name val="Calibri"/>
      <family val="0"/>
    </font>
    <font>
      <b/>
      <i/>
      <sz val="11"/>
      <color indexed="9"/>
      <name val="Georgia"/>
      <family val="0"/>
    </font>
    <font>
      <sz val="11"/>
      <color indexed="53"/>
      <name val="Georgia"/>
      <family val="0"/>
    </font>
    <font>
      <sz val="15"/>
      <color indexed="8"/>
      <name val="Calibri"/>
      <family val="0"/>
    </font>
    <font>
      <sz val="11"/>
      <color indexed="8"/>
      <name val="Calibri"/>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sz val="10"/>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theme="1"/>
      <name val="Arial"/>
      <family val="2"/>
    </font>
    <font>
      <sz val="9"/>
      <color theme="1"/>
      <name val="Arial"/>
      <family val="2"/>
    </font>
    <font>
      <sz val="9"/>
      <color theme="0"/>
      <name val="Arial"/>
      <family val="2"/>
    </font>
    <font>
      <sz val="9"/>
      <color rgb="FFFF0000"/>
      <name val="Arial"/>
      <family val="2"/>
    </font>
    <font>
      <b/>
      <sz val="9"/>
      <color theme="1"/>
      <name val="Arial"/>
      <family val="2"/>
    </font>
    <font>
      <sz val="10"/>
      <color theme="1"/>
      <name val="Georgia"/>
      <family val="1"/>
    </font>
    <font>
      <b/>
      <sz val="10"/>
      <color theme="1"/>
      <name val="Georgia"/>
      <family val="1"/>
    </font>
    <font>
      <b/>
      <sz val="9"/>
      <color theme="0"/>
      <name val="Arial"/>
      <family val="2"/>
    </font>
    <font>
      <b/>
      <sz val="10"/>
      <color theme="0"/>
      <name val="Georgia"/>
      <family val="1"/>
    </font>
    <font>
      <sz val="10"/>
      <color theme="1"/>
      <name val="Cambria"/>
      <family val="1"/>
    </font>
    <font>
      <sz val="10"/>
      <color theme="1"/>
      <name val="Arial"/>
      <family val="2"/>
    </font>
    <font>
      <b/>
      <sz val="10"/>
      <color theme="1"/>
      <name val="Arial"/>
      <family val="2"/>
    </font>
    <font>
      <b/>
      <i/>
      <sz val="10"/>
      <color theme="1"/>
      <name val="Georgia"/>
      <family val="1"/>
    </font>
    <font>
      <b/>
      <sz val="11"/>
      <color theme="0"/>
      <name val="Georgia"/>
      <family val="1"/>
    </font>
    <font>
      <sz val="11"/>
      <color theme="1"/>
      <name val="Georgia"/>
      <family val="1"/>
    </font>
    <font>
      <b/>
      <sz val="10"/>
      <color theme="0"/>
      <name val="Arial"/>
      <family val="2"/>
    </font>
    <font>
      <b/>
      <i/>
      <sz val="16"/>
      <color theme="1"/>
      <name val="Georgia"/>
      <family val="1"/>
    </font>
    <font>
      <sz val="16"/>
      <color theme="1"/>
      <name val="Georgia"/>
      <family val="1"/>
    </font>
    <font>
      <sz val="16"/>
      <color theme="1"/>
      <name val="Arial"/>
      <family val="2"/>
    </font>
    <font>
      <sz val="8"/>
      <color theme="1"/>
      <name val="Georgia"/>
      <family val="1"/>
    </font>
    <font>
      <b/>
      <sz val="11"/>
      <color theme="1"/>
      <name val="Georgia"/>
      <family val="1"/>
    </font>
    <font>
      <sz val="10"/>
      <color theme="3"/>
      <name val="Georgia"/>
      <family val="1"/>
    </font>
    <font>
      <i/>
      <sz val="10"/>
      <color theme="1"/>
      <name val="Georgia"/>
      <family val="1"/>
    </font>
    <font>
      <i/>
      <sz val="8"/>
      <color theme="1"/>
      <name val="Georgia"/>
      <family val="1"/>
    </font>
    <font>
      <sz val="11"/>
      <color rgb="FFFFFFFF"/>
      <name val="Georgia"/>
      <family val="1"/>
    </font>
    <font>
      <sz val="10"/>
      <color theme="0"/>
      <name val="Georgia"/>
      <family val="1"/>
    </font>
    <font>
      <sz val="10"/>
      <color theme="0"/>
      <name val="Arial"/>
      <family val="2"/>
    </font>
    <font>
      <sz val="12"/>
      <color rgb="FFFF0000"/>
      <name val="Wingdings"/>
      <family val="0"/>
    </font>
    <font>
      <sz val="9"/>
      <color theme="1"/>
      <name val="Georgia"/>
      <family val="1"/>
    </font>
    <font>
      <sz val="13"/>
      <color theme="1"/>
      <name val="Georgia"/>
      <family val="1"/>
    </font>
    <font>
      <b/>
      <sz val="8"/>
      <color theme="1"/>
      <name val="Georgia"/>
      <family val="1"/>
    </font>
    <font>
      <b/>
      <sz val="7"/>
      <color theme="1"/>
      <name val="Georg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rgb="FFFFFF00"/>
        <bgColor indexed="64"/>
      </patternFill>
    </fill>
    <fill>
      <patternFill patternType="solid">
        <fgColor indexed="10"/>
        <bgColor indexed="64"/>
      </patternFill>
    </fill>
    <fill>
      <patternFill patternType="solid">
        <fgColor rgb="FFFFF0CB"/>
        <bgColor indexed="64"/>
      </patternFill>
    </fill>
    <fill>
      <patternFill patternType="solid">
        <fgColor rgb="FFFFFFDD"/>
        <bgColor indexed="64"/>
      </patternFill>
    </fill>
    <fill>
      <patternFill patternType="solid">
        <fgColor rgb="FFFFC28B"/>
        <bgColor indexed="64"/>
      </patternFill>
    </fill>
    <fill>
      <patternFill patternType="solid">
        <fgColor rgb="FFDC6938"/>
        <bgColor indexed="64"/>
      </patternFill>
    </fill>
    <fill>
      <patternFill patternType="solid">
        <fgColor rgb="FFFFA451"/>
        <bgColor indexed="64"/>
      </patternFill>
    </fill>
    <fill>
      <patternFill patternType="solid">
        <fgColor theme="2" tint="-0.09996999800205231"/>
        <bgColor indexed="64"/>
      </patternFill>
    </fill>
    <fill>
      <patternFill patternType="solid">
        <fgColor indexed="11"/>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style="medium"/>
      <right/>
      <top style="medium"/>
      <bottom style="medium"/>
    </border>
    <border>
      <left style="medium"/>
      <right style="medium"/>
      <top style="medium"/>
      <bottom style="medium"/>
    </border>
    <border>
      <left/>
      <right style="double"/>
      <top/>
      <bottom/>
    </border>
    <border>
      <left style="thin"/>
      <right style="thin"/>
      <top style="thin"/>
      <bottom/>
    </border>
    <border>
      <left style="thin"/>
      <right style="thin"/>
      <top/>
      <bottom/>
    </border>
    <border>
      <left style="thin"/>
      <right style="thin"/>
      <top/>
      <bottom style="thin"/>
    </border>
    <border>
      <left style="double"/>
      <right/>
      <top/>
      <bottom style="double"/>
    </border>
    <border>
      <left/>
      <right/>
      <top/>
      <bottom style="double"/>
    </border>
    <border>
      <left/>
      <right style="double"/>
      <top/>
      <bottom style="double"/>
    </border>
    <border>
      <left style="thin"/>
      <right style="thin"/>
      <top style="thin"/>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thin">
        <color indexed="8"/>
      </left>
      <right/>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right style="thin"/>
      <top style="thin"/>
      <bottom style="thin"/>
    </border>
    <border>
      <left style="thin">
        <color indexed="8"/>
      </left>
      <right/>
      <top style="thin">
        <color indexed="8"/>
      </top>
      <bottom/>
    </border>
    <border>
      <left style="thin">
        <color indexed="8"/>
      </left>
      <right style="thin"/>
      <top style="thin">
        <color indexed="8"/>
      </top>
      <bottom style="thin">
        <color indexed="8"/>
      </bottom>
    </border>
    <border>
      <left style="medium"/>
      <right style="thin"/>
      <top/>
      <bottom style="medium"/>
    </border>
    <border>
      <left style="thin"/>
      <right style="medium"/>
      <top/>
      <bottom style="medium"/>
    </border>
    <border>
      <left style="medium"/>
      <right style="thin"/>
      <top style="medium"/>
      <bottom style="mediu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style="medium"/>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top style="medium"/>
      <bottom style="thin"/>
    </border>
    <border>
      <left/>
      <right style="thin"/>
      <top style="medium"/>
      <bottom style="thin"/>
    </border>
    <border>
      <left/>
      <right style="medium"/>
      <top style="medium"/>
      <bottom style="thin"/>
    </border>
    <border>
      <left style="medium"/>
      <right/>
      <top style="thin"/>
      <bottom style="thin"/>
    </border>
    <border>
      <left style="medium"/>
      <right/>
      <top style="thin"/>
      <bottom style="medium"/>
    </border>
    <border>
      <left/>
      <right style="thin"/>
      <top style="thin"/>
      <bottom style="medium"/>
    </border>
    <border>
      <left style="thin"/>
      <right style="thin"/>
      <top style="medium"/>
      <bottom style="thin"/>
    </border>
    <border>
      <left style="thin"/>
      <right/>
      <top style="medium"/>
      <bottom style="thin"/>
    </border>
    <border>
      <left style="thin"/>
      <right/>
      <top style="thin"/>
      <bottom/>
    </border>
    <border>
      <left/>
      <right style="thin"/>
      <top style="thin"/>
      <bottom/>
    </border>
    <border>
      <left style="thin"/>
      <right style="thin"/>
      <top style="medium"/>
      <bottom/>
    </border>
    <border>
      <left style="thin"/>
      <right style="medium"/>
      <top style="medium"/>
      <bottom/>
    </border>
    <border>
      <left/>
      <right/>
      <top style="medium">
        <color rgb="FFFFC000"/>
      </top>
      <bottom/>
    </border>
    <border>
      <left style="medium">
        <color theme="9" tint="-0.24993999302387238"/>
      </left>
      <right/>
      <top style="hair">
        <color rgb="FFDC6A00"/>
      </top>
      <bottom style="medium">
        <color theme="9" tint="-0.24993999302387238"/>
      </bottom>
    </border>
    <border>
      <left/>
      <right/>
      <top style="hair">
        <color rgb="FFDC6A00"/>
      </top>
      <bottom style="medium">
        <color theme="9" tint="-0.24993999302387238"/>
      </bottom>
    </border>
    <border>
      <left style="medium">
        <color rgb="FFFFC000"/>
      </left>
      <right/>
      <top/>
      <bottom/>
    </border>
    <border>
      <left style="medium">
        <color rgb="FFFFC000"/>
      </left>
      <right/>
      <top style="medium">
        <color rgb="FFFFC000"/>
      </top>
      <bottom/>
    </border>
    <border>
      <left/>
      <right/>
      <top style="hair">
        <color theme="3"/>
      </top>
      <bottom/>
    </border>
    <border>
      <left/>
      <right style="hair">
        <color theme="3"/>
      </right>
      <top style="hair">
        <color theme="3"/>
      </top>
      <bottom/>
    </border>
    <border>
      <left/>
      <right style="hair">
        <color theme="3"/>
      </right>
      <top/>
      <bottom/>
    </border>
    <border>
      <left/>
      <right/>
      <top/>
      <bottom style="hair">
        <color theme="3"/>
      </bottom>
    </border>
    <border>
      <left/>
      <right style="hair">
        <color theme="3"/>
      </right>
      <top/>
      <bottom style="hair">
        <color theme="3"/>
      </bottom>
    </border>
    <border>
      <left style="hair"/>
      <right/>
      <top style="hair"/>
      <bottom style="hair"/>
    </border>
    <border>
      <left style="hair">
        <color theme="3"/>
      </left>
      <right/>
      <top style="hair">
        <color theme="3"/>
      </top>
      <bottom/>
    </border>
    <border>
      <left style="hair">
        <color theme="3"/>
      </left>
      <right/>
      <top/>
      <bottom/>
    </border>
    <border>
      <left style="hair">
        <color theme="3"/>
      </left>
      <right/>
      <top/>
      <bottom style="hair">
        <color theme="3"/>
      </bottom>
    </border>
    <border>
      <left style="hair">
        <color rgb="FF1F497D"/>
      </left>
      <right/>
      <top style="hair">
        <color rgb="FF1F497D"/>
      </top>
      <bottom/>
    </border>
    <border>
      <left/>
      <right/>
      <top style="hair">
        <color rgb="FF1F497D"/>
      </top>
      <bottom/>
    </border>
    <border>
      <left/>
      <right style="hair">
        <color rgb="FF1F497D"/>
      </right>
      <top style="hair">
        <color rgb="FF1F497D"/>
      </top>
      <bottom/>
    </border>
    <border>
      <left style="hair">
        <color rgb="FF1F497D"/>
      </left>
      <right/>
      <top/>
      <bottom/>
    </border>
    <border>
      <left/>
      <right style="hair">
        <color rgb="FF1F497D"/>
      </right>
      <top/>
      <bottom/>
    </border>
    <border>
      <left style="hair">
        <color rgb="FF1F497D"/>
      </left>
      <right/>
      <top/>
      <bottom style="hair">
        <color rgb="FF1F497D"/>
      </bottom>
    </border>
    <border>
      <left/>
      <right/>
      <top/>
      <bottom style="hair">
        <color rgb="FF1F497D"/>
      </bottom>
    </border>
    <border>
      <left/>
      <right style="hair">
        <color rgb="FF1F497D"/>
      </right>
      <top/>
      <bottom style="hair">
        <color rgb="FF1F497D"/>
      </bottom>
    </border>
    <border>
      <left/>
      <right style="medium">
        <color theme="9" tint="-0.24993999302387238"/>
      </right>
      <top style="medium">
        <color theme="9" tint="-0.24993999302387238"/>
      </top>
      <bottom style="hair">
        <color theme="9" tint="-0.24993999302387238"/>
      </bottom>
    </border>
    <border>
      <left/>
      <right/>
      <top/>
      <bottom style="hair">
        <color rgb="FFDC6A00"/>
      </bottom>
    </border>
    <border>
      <left/>
      <right style="medium">
        <color theme="9" tint="-0.24993999302387238"/>
      </right>
      <top style="hair">
        <color theme="9" tint="-0.24993999302387238"/>
      </top>
      <bottom style="hair">
        <color theme="9" tint="-0.24993999302387238"/>
      </bottom>
    </border>
    <border>
      <left/>
      <right style="medium">
        <color theme="9" tint="-0.24993999302387238"/>
      </right>
      <top style="medium">
        <color theme="9" tint="-0.24993999302387238"/>
      </top>
      <bottom style="medium">
        <color theme="9" tint="-0.24993999302387238"/>
      </bottom>
    </border>
    <border>
      <left/>
      <right style="medium">
        <color theme="9" tint="-0.24993999302387238"/>
      </right>
      <top/>
      <bottom style="hair">
        <color theme="9" tint="-0.24993999302387238"/>
      </bottom>
    </border>
    <border>
      <left/>
      <right style="medium">
        <color theme="9" tint="-0.24993999302387238"/>
      </right>
      <top style="hair">
        <color theme="9" tint="-0.24993999302387238"/>
      </top>
      <bottom style="medium">
        <color theme="9" tint="-0.24993999302387238"/>
      </bottom>
    </border>
    <border>
      <left style="medium">
        <color theme="9" tint="-0.24993999302387238"/>
      </left>
      <right/>
      <top style="medium">
        <color theme="9" tint="-0.24993999302387238"/>
      </top>
      <bottom style="medium">
        <color theme="9" tint="-0.24993999302387238"/>
      </bottom>
    </border>
    <border>
      <left/>
      <right/>
      <top style="medium">
        <color theme="9" tint="-0.24993999302387238"/>
      </top>
      <bottom style="medium">
        <color theme="9" tint="-0.24993999302387238"/>
      </bottom>
    </border>
    <border>
      <left style="hair"/>
      <right style="hair"/>
      <top style="hair"/>
      <bottom style="hair"/>
    </border>
    <border>
      <left/>
      <right/>
      <top/>
      <bottom style="hair">
        <color rgb="FFDC6938"/>
      </bottom>
    </border>
    <border>
      <left/>
      <right/>
      <top style="hair">
        <color rgb="FFDC6938"/>
      </top>
      <bottom style="hair">
        <color rgb="FFDC6938"/>
      </bottom>
    </border>
    <border>
      <left/>
      <right/>
      <top style="hair">
        <color rgb="FFDC6938"/>
      </top>
      <bottom/>
    </border>
    <border>
      <left/>
      <right style="hair"/>
      <top style="hair"/>
      <bottom style="hair"/>
    </border>
    <border>
      <left/>
      <right/>
      <top style="hair"/>
      <bottom style="hair"/>
    </border>
    <border>
      <left style="hair">
        <color theme="3"/>
      </left>
      <right style="hair">
        <color theme="3"/>
      </right>
      <top style="hair">
        <color theme="3"/>
      </top>
      <bottom/>
    </border>
    <border>
      <left style="hair">
        <color theme="3"/>
      </left>
      <right style="hair">
        <color theme="3"/>
      </right>
      <top/>
      <bottom/>
    </border>
    <border>
      <left style="hair">
        <color theme="3"/>
      </left>
      <right style="hair">
        <color theme="3"/>
      </right>
      <top/>
      <bottom style="hair">
        <color theme="3"/>
      </bottom>
    </border>
    <border>
      <left/>
      <right style="medium">
        <color theme="9" tint="-0.24993999302387238"/>
      </right>
      <top/>
      <bottom/>
    </border>
    <border>
      <left/>
      <right style="medium">
        <color theme="9" tint="-0.24993999302387238"/>
      </right>
      <top/>
      <bottom style="medium">
        <color theme="9" tint="-0.24993999302387238"/>
      </bottom>
    </border>
    <border>
      <left>
        <color indexed="63"/>
      </left>
      <right>
        <color indexed="63"/>
      </right>
      <top style="medium">
        <color theme="9" tint="-0.24993999302387238"/>
      </top>
      <bottom>
        <color indexed="63"/>
      </bottom>
    </border>
    <border>
      <left/>
      <right style="hair">
        <color rgb="FFDC6938"/>
      </right>
      <top style="hair">
        <color rgb="FFDC6938"/>
      </top>
      <bottom style="hair">
        <color rgb="FFDC6938"/>
      </bottom>
    </border>
    <border>
      <left/>
      <right style="hair">
        <color rgb="FFDC6938"/>
      </right>
      <top/>
      <bottom style="hair">
        <color rgb="FFDC6938"/>
      </bottom>
    </border>
    <border>
      <left style="medium"/>
      <right style="medium"/>
      <top/>
      <bottom/>
    </border>
    <border>
      <left/>
      <right/>
      <top/>
      <bottom style="medium"/>
    </border>
    <border>
      <left style="thin"/>
      <right/>
      <top style="medium"/>
      <bottom style="medium"/>
    </border>
    <border>
      <left style="medium"/>
      <right style="medium"/>
      <top style="medium"/>
      <bottom/>
    </border>
    <border>
      <left style="medium"/>
      <right style="medium"/>
      <top/>
      <bottom style="medium"/>
    </border>
    <border>
      <left/>
      <right style="thin"/>
      <top style="medium"/>
      <bottom style="medium"/>
    </border>
    <border>
      <left style="medium"/>
      <right/>
      <top style="medium"/>
      <bottom/>
    </border>
    <border>
      <left/>
      <right style="thin"/>
      <top style="medium"/>
      <bottom/>
    </border>
  </borders>
  <cellStyleXfs count="70">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4"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166" fontId="2" fillId="0" borderId="0">
      <alignment/>
      <protection/>
    </xf>
    <xf numFmtId="0" fontId="93" fillId="0" borderId="0">
      <alignment/>
      <protection/>
    </xf>
    <xf numFmtId="168" fontId="4" fillId="0" borderId="0">
      <alignment/>
      <protection/>
    </xf>
    <xf numFmtId="0" fontId="0" fillId="0" borderId="0">
      <alignment/>
      <protection/>
    </xf>
    <xf numFmtId="0" fontId="94" fillId="0" borderId="0">
      <alignment/>
      <protection/>
    </xf>
    <xf numFmtId="0" fontId="4" fillId="0" borderId="0">
      <alignment/>
      <protection/>
    </xf>
    <xf numFmtId="166" fontId="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651">
    <xf numFmtId="168" fontId="0" fillId="0" borderId="0" xfId="0" applyAlignment="1">
      <alignment/>
    </xf>
    <xf numFmtId="168" fontId="0" fillId="0" borderId="0" xfId="0" applyAlignment="1" applyProtection="1">
      <alignment/>
      <protection locked="0"/>
    </xf>
    <xf numFmtId="168" fontId="0" fillId="33" borderId="0" xfId="0" applyFill="1" applyAlignment="1" applyProtection="1">
      <alignment/>
      <protection locked="0"/>
    </xf>
    <xf numFmtId="168" fontId="0" fillId="34" borderId="10" xfId="0" applyFill="1" applyBorder="1" applyAlignment="1" applyProtection="1">
      <alignment/>
      <protection locked="0"/>
    </xf>
    <xf numFmtId="168" fontId="0" fillId="34" borderId="11" xfId="0" applyFill="1" applyBorder="1" applyAlignment="1" applyProtection="1">
      <alignment/>
      <protection locked="0"/>
    </xf>
    <xf numFmtId="168" fontId="0" fillId="33" borderId="11" xfId="0" applyFill="1" applyBorder="1" applyAlignment="1" applyProtection="1">
      <alignment/>
      <protection locked="0"/>
    </xf>
    <xf numFmtId="168" fontId="0" fillId="33" borderId="12" xfId="0" applyFill="1" applyBorder="1" applyAlignment="1" applyProtection="1">
      <alignment/>
      <protection locked="0"/>
    </xf>
    <xf numFmtId="168" fontId="0" fillId="34" borderId="13" xfId="0" applyFill="1" applyBorder="1" applyAlignment="1" applyProtection="1">
      <alignment/>
      <protection locked="0"/>
    </xf>
    <xf numFmtId="168" fontId="0" fillId="34" borderId="0" xfId="0" applyFill="1" applyBorder="1" applyAlignment="1" applyProtection="1">
      <alignment/>
      <protection locked="0"/>
    </xf>
    <xf numFmtId="0" fontId="97" fillId="34" borderId="14" xfId="0" applyNumberFormat="1" applyFont="1" applyFill="1" applyBorder="1" applyAlignment="1" applyProtection="1">
      <alignment horizontal="center" vertical="center"/>
      <protection locked="0"/>
    </xf>
    <xf numFmtId="0" fontId="97" fillId="33" borderId="15" xfId="0" applyNumberFormat="1" applyFont="1" applyFill="1" applyBorder="1" applyAlignment="1" applyProtection="1">
      <alignment horizontal="center" vertical="center"/>
      <protection locked="0"/>
    </xf>
    <xf numFmtId="168" fontId="0" fillId="33" borderId="16" xfId="0" applyFill="1" applyBorder="1" applyAlignment="1" applyProtection="1">
      <alignment/>
      <protection locked="0"/>
    </xf>
    <xf numFmtId="168" fontId="0" fillId="34" borderId="0" xfId="0" applyFill="1" applyBorder="1" applyAlignment="1" applyProtection="1">
      <alignment horizontal="left"/>
      <protection locked="0"/>
    </xf>
    <xf numFmtId="168" fontId="0" fillId="33" borderId="0" xfId="0" applyFill="1" applyBorder="1" applyAlignment="1" applyProtection="1">
      <alignment/>
      <protection locked="0"/>
    </xf>
    <xf numFmtId="164" fontId="3" fillId="34" borderId="0" xfId="62" applyNumberFormat="1" applyFont="1" applyFill="1" applyBorder="1" applyAlignment="1" applyProtection="1">
      <alignment horizontal="left"/>
      <protection locked="0"/>
    </xf>
    <xf numFmtId="165" fontId="0" fillId="34" borderId="17" xfId="0" applyNumberFormat="1" applyFill="1" applyBorder="1" applyAlignment="1" applyProtection="1">
      <alignment/>
      <protection locked="0"/>
    </xf>
    <xf numFmtId="165" fontId="0" fillId="34" borderId="18" xfId="0" applyNumberFormat="1" applyFill="1" applyBorder="1" applyAlignment="1" applyProtection="1">
      <alignment/>
      <protection locked="0"/>
    </xf>
    <xf numFmtId="2" fontId="8" fillId="34" borderId="0" xfId="0" applyNumberFormat="1" applyFont="1" applyFill="1" applyBorder="1" applyAlignment="1" applyProtection="1">
      <alignment/>
      <protection locked="0"/>
    </xf>
    <xf numFmtId="165" fontId="0" fillId="34" borderId="18" xfId="0" applyNumberFormat="1" applyFill="1" applyBorder="1" applyAlignment="1" applyProtection="1">
      <alignment horizontal="right"/>
      <protection locked="0"/>
    </xf>
    <xf numFmtId="0" fontId="8" fillId="34" borderId="0" xfId="0" applyNumberFormat="1" applyFont="1" applyFill="1" applyBorder="1" applyAlignment="1" applyProtection="1">
      <alignment/>
      <protection locked="0"/>
    </xf>
    <xf numFmtId="164" fontId="5" fillId="34" borderId="0" xfId="62" applyNumberFormat="1" applyFont="1" applyFill="1" applyBorder="1" applyProtection="1">
      <alignment/>
      <protection locked="0"/>
    </xf>
    <xf numFmtId="168" fontId="0" fillId="33" borderId="18" xfId="0" applyFill="1" applyBorder="1" applyAlignment="1" applyProtection="1">
      <alignment/>
      <protection locked="0"/>
    </xf>
    <xf numFmtId="164" fontId="3" fillId="34" borderId="0" xfId="62" applyNumberFormat="1" applyFont="1" applyFill="1" applyBorder="1" applyProtection="1">
      <alignment/>
      <protection locked="0"/>
    </xf>
    <xf numFmtId="10" fontId="0" fillId="34" borderId="18" xfId="0" applyNumberFormat="1" applyFill="1" applyBorder="1" applyAlignment="1" applyProtection="1">
      <alignment/>
      <protection locked="0"/>
    </xf>
    <xf numFmtId="164" fontId="99" fillId="34" borderId="0" xfId="58" applyNumberFormat="1" applyFont="1" applyFill="1" applyBorder="1" applyProtection="1">
      <alignment/>
      <protection locked="0"/>
    </xf>
    <xf numFmtId="164" fontId="5" fillId="34" borderId="0" xfId="58" applyNumberFormat="1" applyFont="1" applyFill="1" applyBorder="1" applyProtection="1">
      <alignment/>
      <protection locked="0"/>
    </xf>
    <xf numFmtId="168" fontId="0" fillId="34" borderId="0" xfId="0" applyFill="1" applyBorder="1" applyAlignment="1" applyProtection="1">
      <alignment vertical="center"/>
      <protection locked="0"/>
    </xf>
    <xf numFmtId="165" fontId="0" fillId="34" borderId="18" xfId="0" applyNumberFormat="1" applyFill="1" applyBorder="1" applyAlignment="1" applyProtection="1">
      <alignment vertical="center"/>
      <protection locked="0"/>
    </xf>
    <xf numFmtId="168" fontId="0" fillId="0" borderId="16" xfId="0" applyBorder="1" applyAlignment="1" applyProtection="1">
      <alignment/>
      <protection locked="0"/>
    </xf>
    <xf numFmtId="168" fontId="0" fillId="0" borderId="0" xfId="0" applyBorder="1" applyAlignment="1" applyProtection="1">
      <alignment/>
      <protection locked="0"/>
    </xf>
    <xf numFmtId="165" fontId="0" fillId="33" borderId="18" xfId="0" applyNumberFormat="1" applyFill="1" applyBorder="1" applyAlignment="1" applyProtection="1">
      <alignment/>
      <protection locked="0"/>
    </xf>
    <xf numFmtId="165" fontId="0" fillId="33" borderId="18" xfId="0" applyNumberFormat="1" applyFill="1" applyBorder="1" applyAlignment="1" applyProtection="1">
      <alignment horizontal="center"/>
      <protection locked="0"/>
    </xf>
    <xf numFmtId="168" fontId="5" fillId="34" borderId="0" xfId="0" applyFont="1" applyFill="1" applyBorder="1" applyAlignment="1" applyProtection="1">
      <alignment/>
      <protection locked="0"/>
    </xf>
    <xf numFmtId="164" fontId="5" fillId="34" borderId="0" xfId="0" applyNumberFormat="1" applyFont="1" applyFill="1" applyBorder="1" applyAlignment="1" applyProtection="1">
      <alignment/>
      <protection locked="0"/>
    </xf>
    <xf numFmtId="164" fontId="5" fillId="34" borderId="0" xfId="0" applyNumberFormat="1" applyFont="1" applyFill="1" applyAlignment="1" applyProtection="1">
      <alignment/>
      <protection locked="0"/>
    </xf>
    <xf numFmtId="165" fontId="5" fillId="34" borderId="0" xfId="0" applyNumberFormat="1" applyFont="1" applyFill="1" applyBorder="1" applyAlignment="1" applyProtection="1">
      <alignment/>
      <protection locked="0"/>
    </xf>
    <xf numFmtId="165" fontId="0" fillId="33" borderId="19" xfId="0" applyNumberFormat="1" applyFill="1" applyBorder="1" applyAlignment="1" applyProtection="1">
      <alignment/>
      <protection locked="0"/>
    </xf>
    <xf numFmtId="168" fontId="0" fillId="33" borderId="20" xfId="0" applyFill="1" applyBorder="1" applyAlignment="1" applyProtection="1">
      <alignment/>
      <protection locked="0"/>
    </xf>
    <xf numFmtId="168" fontId="0" fillId="33" borderId="21" xfId="0" applyFill="1" applyBorder="1" applyAlignment="1" applyProtection="1">
      <alignment/>
      <protection locked="0"/>
    </xf>
    <xf numFmtId="168" fontId="0" fillId="33" borderId="22" xfId="0" applyFill="1" applyBorder="1" applyAlignment="1" applyProtection="1">
      <alignment/>
      <protection locked="0"/>
    </xf>
    <xf numFmtId="168" fontId="7" fillId="0" borderId="0" xfId="0" applyFont="1" applyAlignment="1" applyProtection="1">
      <alignment/>
      <protection locked="0"/>
    </xf>
    <xf numFmtId="168" fontId="7" fillId="0" borderId="0" xfId="0" applyFont="1" applyFill="1" applyAlignment="1" applyProtection="1">
      <alignment/>
      <protection locked="0"/>
    </xf>
    <xf numFmtId="164" fontId="7" fillId="0" borderId="0" xfId="56" applyNumberFormat="1" applyFont="1" applyFill="1" applyProtection="1">
      <alignment/>
      <protection locked="0"/>
    </xf>
    <xf numFmtId="164" fontId="7" fillId="0" borderId="0" xfId="56" applyNumberFormat="1" applyFont="1" applyProtection="1">
      <alignment/>
      <protection locked="0"/>
    </xf>
    <xf numFmtId="168" fontId="7" fillId="0" borderId="0" xfId="0" applyFont="1" applyAlignment="1" applyProtection="1">
      <alignment/>
      <protection locked="0"/>
    </xf>
    <xf numFmtId="168" fontId="100" fillId="0" borderId="0" xfId="0" applyFont="1" applyAlignment="1" applyProtection="1">
      <alignment/>
      <protection locked="0"/>
    </xf>
    <xf numFmtId="0" fontId="100" fillId="0" borderId="0" xfId="0" applyNumberFormat="1" applyFont="1" applyAlignment="1" applyProtection="1">
      <alignment horizontal="center"/>
      <protection locked="0"/>
    </xf>
    <xf numFmtId="168" fontId="101" fillId="0" borderId="0" xfId="0" applyFont="1" applyAlignment="1" applyProtection="1">
      <alignment/>
      <protection locked="0"/>
    </xf>
    <xf numFmtId="167" fontId="7" fillId="0" borderId="23" xfId="0" applyNumberFormat="1" applyFont="1" applyFill="1" applyBorder="1" applyAlignment="1" applyProtection="1">
      <alignment/>
      <protection locked="0"/>
    </xf>
    <xf numFmtId="168" fontId="7" fillId="0" borderId="23" xfId="0" applyFont="1" applyFill="1" applyBorder="1" applyAlignment="1" applyProtection="1">
      <alignment/>
      <protection locked="0"/>
    </xf>
    <xf numFmtId="168" fontId="6" fillId="0" borderId="0" xfId="0" applyFont="1" applyAlignment="1" applyProtection="1">
      <alignment/>
      <protection locked="0"/>
    </xf>
    <xf numFmtId="164" fontId="6" fillId="0" borderId="0" xfId="56" applyNumberFormat="1" applyFont="1" applyProtection="1">
      <alignment/>
      <protection locked="0"/>
    </xf>
    <xf numFmtId="166" fontId="8" fillId="0" borderId="24" xfId="56" applyNumberFormat="1" applyFont="1" applyFill="1" applyBorder="1" applyAlignment="1" applyProtection="1">
      <alignment horizontal="center" vertical="center" wrapText="1"/>
      <protection locked="0"/>
    </xf>
    <xf numFmtId="166" fontId="8" fillId="0" borderId="25" xfId="56" applyNumberFormat="1" applyFont="1" applyFill="1" applyBorder="1" applyAlignment="1" applyProtection="1">
      <alignment horizontal="center" vertical="center" wrapText="1"/>
      <protection locked="0"/>
    </xf>
    <xf numFmtId="168" fontId="7" fillId="0" borderId="0" xfId="0" applyFont="1" applyAlignment="1" applyProtection="1">
      <alignment wrapText="1"/>
      <protection locked="0"/>
    </xf>
    <xf numFmtId="166" fontId="7" fillId="0" borderId="26" xfId="0" applyNumberFormat="1" applyFont="1" applyBorder="1" applyAlignment="1" applyProtection="1">
      <alignment/>
      <protection locked="0"/>
    </xf>
    <xf numFmtId="4" fontId="7" fillId="0" borderId="19" xfId="0" applyNumberFormat="1" applyFont="1" applyBorder="1" applyAlignment="1" applyProtection="1">
      <alignment/>
      <protection locked="0"/>
    </xf>
    <xf numFmtId="10" fontId="8" fillId="0" borderId="19" xfId="66" applyNumberFormat="1" applyFont="1" applyBorder="1" applyAlignment="1" applyProtection="1">
      <alignment horizontal="center"/>
      <protection locked="0"/>
    </xf>
    <xf numFmtId="4" fontId="7" fillId="0" borderId="27" xfId="0" applyNumberFormat="1" applyFont="1" applyBorder="1" applyAlignment="1" applyProtection="1">
      <alignment/>
      <protection locked="0"/>
    </xf>
    <xf numFmtId="4" fontId="7" fillId="0" borderId="28" xfId="0" applyNumberFormat="1" applyFont="1" applyBorder="1" applyAlignment="1" applyProtection="1">
      <alignment/>
      <protection locked="0"/>
    </xf>
    <xf numFmtId="4" fontId="7" fillId="0" borderId="23" xfId="0" applyNumberFormat="1" applyFont="1" applyBorder="1" applyAlignment="1" applyProtection="1">
      <alignment/>
      <protection locked="0"/>
    </xf>
    <xf numFmtId="10" fontId="8" fillId="0" borderId="23" xfId="66" applyNumberFormat="1" applyFont="1" applyBorder="1" applyAlignment="1" applyProtection="1">
      <alignment horizontal="center"/>
      <protection locked="0"/>
    </xf>
    <xf numFmtId="4" fontId="7" fillId="0" borderId="29" xfId="0" applyNumberFormat="1" applyFont="1" applyBorder="1" applyAlignment="1" applyProtection="1">
      <alignment/>
      <protection locked="0"/>
    </xf>
    <xf numFmtId="4" fontId="8" fillId="0" borderId="23" xfId="0" applyNumberFormat="1" applyFont="1" applyBorder="1" applyAlignment="1" applyProtection="1">
      <alignment/>
      <protection locked="0"/>
    </xf>
    <xf numFmtId="164" fontId="8" fillId="0" borderId="30" xfId="0" applyNumberFormat="1" applyFont="1" applyBorder="1" applyAlignment="1" applyProtection="1">
      <alignment/>
      <protection locked="0"/>
    </xf>
    <xf numFmtId="164" fontId="8" fillId="0" borderId="31" xfId="0" applyNumberFormat="1" applyFont="1" applyBorder="1" applyAlignment="1" applyProtection="1">
      <alignment/>
      <protection locked="0"/>
    </xf>
    <xf numFmtId="10" fontId="8" fillId="0" borderId="31" xfId="66" applyNumberFormat="1" applyFont="1" applyBorder="1" applyAlignment="1" applyProtection="1">
      <alignment horizontal="center"/>
      <protection locked="0"/>
    </xf>
    <xf numFmtId="165" fontId="8" fillId="0" borderId="32" xfId="0" applyNumberFormat="1" applyFont="1" applyBorder="1" applyAlignment="1" applyProtection="1">
      <alignment/>
      <protection locked="0"/>
    </xf>
    <xf numFmtId="164" fontId="6" fillId="35" borderId="14" xfId="56" applyNumberFormat="1" applyFont="1" applyFill="1" applyBorder="1" applyAlignment="1" applyProtection="1">
      <alignment horizontal="left"/>
      <protection locked="0"/>
    </xf>
    <xf numFmtId="168" fontId="7" fillId="35" borderId="33" xfId="0" applyFont="1" applyFill="1" applyBorder="1" applyAlignment="1" applyProtection="1">
      <alignment/>
      <protection locked="0"/>
    </xf>
    <xf numFmtId="164" fontId="7" fillId="35" borderId="34" xfId="56" applyNumberFormat="1" applyFont="1" applyFill="1" applyBorder="1" applyProtection="1">
      <alignment/>
      <protection locked="0"/>
    </xf>
    <xf numFmtId="164" fontId="6" fillId="0" borderId="0" xfId="56"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0" fontId="7" fillId="36" borderId="0" xfId="0" applyNumberFormat="1" applyFont="1" applyFill="1" applyAlignment="1" applyProtection="1">
      <alignment horizontal="center"/>
      <protection locked="0"/>
    </xf>
    <xf numFmtId="168" fontId="7" fillId="0" borderId="0" xfId="0" applyFont="1" applyAlignment="1" applyProtection="1">
      <alignment horizontal="center"/>
      <protection locked="0"/>
    </xf>
    <xf numFmtId="167" fontId="7" fillId="34" borderId="35" xfId="56" applyNumberFormat="1" applyFont="1" applyFill="1" applyBorder="1" applyProtection="1">
      <alignment/>
      <protection locked="0"/>
    </xf>
    <xf numFmtId="167" fontId="7" fillId="36" borderId="36" xfId="56" applyNumberFormat="1" applyFont="1" applyFill="1" applyBorder="1" applyProtection="1">
      <alignment/>
      <protection locked="0"/>
    </xf>
    <xf numFmtId="167" fontId="7" fillId="36" borderId="37" xfId="56" applyNumberFormat="1" applyFont="1" applyFill="1" applyBorder="1" applyProtection="1">
      <alignment/>
      <protection locked="0"/>
    </xf>
    <xf numFmtId="167" fontId="7" fillId="36" borderId="38" xfId="56" applyNumberFormat="1" applyFont="1" applyFill="1" applyBorder="1" applyProtection="1">
      <alignment/>
      <protection locked="0"/>
    </xf>
    <xf numFmtId="168" fontId="102" fillId="0" borderId="0" xfId="0" applyFont="1" applyAlignment="1" applyProtection="1">
      <alignment/>
      <protection locked="0"/>
    </xf>
    <xf numFmtId="167" fontId="6" fillId="34" borderId="35" xfId="56" applyNumberFormat="1" applyFont="1" applyFill="1" applyBorder="1" applyProtection="1">
      <alignment/>
      <protection locked="0"/>
    </xf>
    <xf numFmtId="167" fontId="7" fillId="36" borderId="23" xfId="56" applyNumberFormat="1" applyFont="1" applyFill="1" applyBorder="1" applyProtection="1">
      <alignment/>
      <protection locked="0"/>
    </xf>
    <xf numFmtId="167" fontId="6" fillId="0" borderId="0" xfId="0" applyNumberFormat="1" applyFont="1" applyAlignment="1" applyProtection="1">
      <alignment/>
      <protection locked="0"/>
    </xf>
    <xf numFmtId="167" fontId="7" fillId="0" borderId="0" xfId="56" applyNumberFormat="1" applyFont="1" applyFill="1" applyBorder="1" applyProtection="1">
      <alignment/>
      <protection locked="0"/>
    </xf>
    <xf numFmtId="164" fontId="6" fillId="2" borderId="0" xfId="56" applyNumberFormat="1" applyFont="1" applyFill="1" applyProtection="1">
      <alignment/>
      <protection locked="0"/>
    </xf>
    <xf numFmtId="168" fontId="7" fillId="2" borderId="0" xfId="0" applyFont="1" applyFill="1" applyAlignment="1" applyProtection="1">
      <alignment/>
      <protection locked="0"/>
    </xf>
    <xf numFmtId="164" fontId="7" fillId="2" borderId="0" xfId="56" applyNumberFormat="1" applyFont="1" applyFill="1" applyProtection="1">
      <alignment/>
      <protection locked="0"/>
    </xf>
    <xf numFmtId="0" fontId="7" fillId="2" borderId="0" xfId="0" applyNumberFormat="1" applyFont="1" applyFill="1" applyAlignment="1" applyProtection="1">
      <alignment/>
      <protection locked="0"/>
    </xf>
    <xf numFmtId="168" fontId="7" fillId="2" borderId="23" xfId="0" applyFont="1" applyFill="1" applyBorder="1" applyAlignment="1" applyProtection="1">
      <alignment/>
      <protection locked="0"/>
    </xf>
    <xf numFmtId="168" fontId="7" fillId="36" borderId="23" xfId="0" applyFont="1" applyFill="1" applyBorder="1" applyAlignment="1" applyProtection="1">
      <alignment/>
      <protection locked="0"/>
    </xf>
    <xf numFmtId="164" fontId="7" fillId="2" borderId="23" xfId="56" applyNumberFormat="1" applyFont="1" applyFill="1" applyBorder="1" applyProtection="1">
      <alignment/>
      <protection locked="0"/>
    </xf>
    <xf numFmtId="9" fontId="7" fillId="2" borderId="23" xfId="65" applyFont="1" applyFill="1" applyBorder="1" applyAlignment="1" applyProtection="1">
      <alignment/>
      <protection locked="0"/>
    </xf>
    <xf numFmtId="9" fontId="7" fillId="36" borderId="23" xfId="65" applyFont="1" applyFill="1" applyBorder="1" applyAlignment="1" applyProtection="1">
      <alignment/>
      <protection locked="0"/>
    </xf>
    <xf numFmtId="167" fontId="7" fillId="0" borderId="0" xfId="0" applyNumberFormat="1" applyFont="1" applyFill="1" applyAlignment="1" applyProtection="1">
      <alignment/>
      <protection locked="0"/>
    </xf>
    <xf numFmtId="168" fontId="7" fillId="35" borderId="34" xfId="0" applyFont="1" applyFill="1" applyBorder="1" applyAlignment="1" applyProtection="1">
      <alignment/>
      <protection locked="0"/>
    </xf>
    <xf numFmtId="0" fontId="6" fillId="0" borderId="23" xfId="0" applyNumberFormat="1" applyFont="1" applyBorder="1" applyAlignment="1" applyProtection="1">
      <alignment horizontal="center"/>
      <protection locked="0"/>
    </xf>
    <xf numFmtId="0" fontId="6" fillId="0" borderId="39" xfId="0" applyNumberFormat="1" applyFont="1" applyBorder="1" applyAlignment="1" applyProtection="1">
      <alignment horizontal="center"/>
      <protection locked="0"/>
    </xf>
    <xf numFmtId="168" fontId="6" fillId="0" borderId="0" xfId="0" applyFont="1" applyAlignment="1" applyProtection="1">
      <alignment/>
      <protection locked="0"/>
    </xf>
    <xf numFmtId="168" fontId="7" fillId="0" borderId="23" xfId="0" applyFont="1" applyBorder="1" applyAlignment="1" applyProtection="1">
      <alignment/>
      <protection locked="0"/>
    </xf>
    <xf numFmtId="167" fontId="7" fillId="0" borderId="0" xfId="0" applyNumberFormat="1" applyFont="1" applyAlignment="1" applyProtection="1">
      <alignment/>
      <protection locked="0"/>
    </xf>
    <xf numFmtId="167" fontId="6" fillId="34" borderId="14" xfId="56" applyNumberFormat="1" applyFont="1" applyFill="1" applyBorder="1" applyProtection="1">
      <alignment/>
      <protection locked="0"/>
    </xf>
    <xf numFmtId="168" fontId="6" fillId="0" borderId="25" xfId="0" applyFont="1" applyBorder="1" applyAlignment="1" applyProtection="1">
      <alignment/>
      <protection locked="0"/>
    </xf>
    <xf numFmtId="0" fontId="6" fillId="0" borderId="23" xfId="0" applyNumberFormat="1" applyFont="1" applyBorder="1" applyAlignment="1" applyProtection="1">
      <alignment horizontal="center" vertical="center"/>
      <protection locked="0"/>
    </xf>
    <xf numFmtId="167" fontId="7" fillId="34" borderId="40" xfId="56" applyNumberFormat="1" applyFont="1" applyFill="1" applyBorder="1" applyProtection="1">
      <alignment/>
      <protection locked="0"/>
    </xf>
    <xf numFmtId="168" fontId="7" fillId="0" borderId="17" xfId="0" applyFont="1" applyBorder="1" applyAlignment="1" applyProtection="1">
      <alignment/>
      <protection locked="0"/>
    </xf>
    <xf numFmtId="167" fontId="7" fillId="34" borderId="23" xfId="56" applyNumberFormat="1" applyFont="1" applyFill="1" applyBorder="1" applyProtection="1">
      <alignment/>
      <protection locked="0"/>
    </xf>
    <xf numFmtId="168" fontId="7" fillId="0" borderId="0" xfId="0" applyFont="1" applyBorder="1" applyAlignment="1" applyProtection="1">
      <alignment vertical="center" textRotation="90" wrapText="1"/>
      <protection locked="0"/>
    </xf>
    <xf numFmtId="168" fontId="7" fillId="0" borderId="0" xfId="0" applyFont="1" applyBorder="1" applyAlignment="1" applyProtection="1">
      <alignment/>
      <protection locked="0"/>
    </xf>
    <xf numFmtId="164" fontId="6" fillId="35" borderId="14" xfId="56" applyNumberFormat="1" applyFont="1" applyFill="1" applyBorder="1" applyAlignment="1" applyProtection="1">
      <alignment horizontal="center"/>
      <protection locked="0"/>
    </xf>
    <xf numFmtId="167" fontId="7" fillId="34" borderId="36" xfId="56" applyNumberFormat="1" applyFont="1" applyFill="1" applyBorder="1" applyProtection="1">
      <alignment/>
      <protection locked="0"/>
    </xf>
    <xf numFmtId="167" fontId="7" fillId="34" borderId="38" xfId="56" applyNumberFormat="1" applyFont="1" applyFill="1" applyBorder="1" applyProtection="1">
      <alignment/>
      <protection locked="0"/>
    </xf>
    <xf numFmtId="167" fontId="7" fillId="0" borderId="0" xfId="0" applyNumberFormat="1" applyFont="1" applyAlignment="1" applyProtection="1">
      <alignment/>
      <protection locked="0"/>
    </xf>
    <xf numFmtId="167" fontId="7" fillId="34" borderId="41" xfId="56" applyNumberFormat="1" applyFont="1" applyFill="1" applyBorder="1" applyProtection="1">
      <alignment/>
      <protection locked="0"/>
    </xf>
    <xf numFmtId="168" fontId="6" fillId="0" borderId="23" xfId="0" applyFont="1" applyBorder="1" applyAlignment="1" applyProtection="1">
      <alignment/>
      <protection locked="0"/>
    </xf>
    <xf numFmtId="168" fontId="7" fillId="2" borderId="0" xfId="0" applyFont="1" applyFill="1" applyAlignment="1" applyProtection="1">
      <alignment/>
      <protection locked="0"/>
    </xf>
    <xf numFmtId="0" fontId="7" fillId="2" borderId="23" xfId="0" applyNumberFormat="1" applyFont="1" applyFill="1" applyBorder="1" applyAlignment="1" applyProtection="1">
      <alignment/>
      <protection locked="0"/>
    </xf>
    <xf numFmtId="0" fontId="7" fillId="36" borderId="23" xfId="0" applyNumberFormat="1" applyFont="1" applyFill="1" applyBorder="1" applyAlignment="1" applyProtection="1">
      <alignment/>
      <protection locked="0"/>
    </xf>
    <xf numFmtId="168" fontId="102" fillId="2" borderId="0" xfId="0" applyFont="1" applyFill="1" applyAlignment="1" applyProtection="1">
      <alignment/>
      <protection locked="0"/>
    </xf>
    <xf numFmtId="168" fontId="0" fillId="2" borderId="0" xfId="0" applyFill="1" applyAlignment="1" applyProtection="1">
      <alignment/>
      <protection locked="0"/>
    </xf>
    <xf numFmtId="168" fontId="102" fillId="2" borderId="0" xfId="0" applyFont="1" applyFill="1" applyBorder="1" applyAlignment="1" applyProtection="1">
      <alignment/>
      <protection locked="0"/>
    </xf>
    <xf numFmtId="168" fontId="103" fillId="0" borderId="0" xfId="0" applyFont="1" applyAlignment="1" applyProtection="1">
      <alignment/>
      <protection locked="0"/>
    </xf>
    <xf numFmtId="168" fontId="7" fillId="0" borderId="15" xfId="0" applyFont="1" applyBorder="1" applyAlignment="1" applyProtection="1">
      <alignment/>
      <protection locked="0"/>
    </xf>
    <xf numFmtId="0" fontId="102" fillId="0" borderId="0" xfId="0" applyNumberFormat="1" applyFont="1" applyAlignment="1" applyProtection="1">
      <alignment/>
      <protection locked="0"/>
    </xf>
    <xf numFmtId="168" fontId="100" fillId="2" borderId="0" xfId="0" applyFont="1" applyFill="1" applyAlignment="1" applyProtection="1">
      <alignment/>
      <protection locked="0"/>
    </xf>
    <xf numFmtId="0" fontId="7" fillId="2" borderId="0" xfId="0" applyNumberFormat="1" applyFont="1" applyFill="1" applyAlignment="1" applyProtection="1">
      <alignment horizontal="center"/>
      <protection locked="0"/>
    </xf>
    <xf numFmtId="9" fontId="100" fillId="2" borderId="23" xfId="65" applyFont="1" applyFill="1" applyBorder="1" applyAlignment="1" applyProtection="1">
      <alignment horizontal="right"/>
      <protection locked="0"/>
    </xf>
    <xf numFmtId="9" fontId="7" fillId="2" borderId="23" xfId="65" applyFont="1" applyFill="1" applyBorder="1" applyAlignment="1" applyProtection="1">
      <alignment horizontal="right"/>
      <protection locked="0"/>
    </xf>
    <xf numFmtId="168" fontId="100" fillId="2" borderId="23" xfId="0" applyFont="1" applyFill="1" applyBorder="1" applyAlignment="1" applyProtection="1">
      <alignment/>
      <protection locked="0"/>
    </xf>
    <xf numFmtId="168" fontId="100" fillId="2" borderId="0" xfId="0" applyFont="1" applyFill="1" applyBorder="1" applyAlignment="1" applyProtection="1">
      <alignment horizontal="left"/>
      <protection locked="0"/>
    </xf>
    <xf numFmtId="168" fontId="100" fillId="2" borderId="0" xfId="0" applyFont="1" applyFill="1" applyBorder="1" applyAlignment="1" applyProtection="1">
      <alignment/>
      <protection locked="0"/>
    </xf>
    <xf numFmtId="168" fontId="7" fillId="2" borderId="0" xfId="0" applyFont="1" applyFill="1" applyBorder="1" applyAlignment="1" applyProtection="1">
      <alignment/>
      <protection locked="0"/>
    </xf>
    <xf numFmtId="9" fontId="7" fillId="0" borderId="23" xfId="65" applyFont="1" applyBorder="1" applyAlignment="1" applyProtection="1">
      <alignment/>
      <protection locked="0"/>
    </xf>
    <xf numFmtId="9" fontId="7" fillId="0" borderId="23" xfId="65" applyFont="1" applyBorder="1" applyAlignment="1" applyProtection="1">
      <alignment horizontal="center"/>
      <protection locked="0"/>
    </xf>
    <xf numFmtId="167" fontId="7" fillId="34" borderId="42" xfId="56" applyNumberFormat="1" applyFont="1" applyFill="1" applyBorder="1" applyProtection="1">
      <alignment/>
      <protection locked="0"/>
    </xf>
    <xf numFmtId="168" fontId="7" fillId="36" borderId="43" xfId="0" applyFont="1" applyFill="1" applyBorder="1" applyAlignment="1" applyProtection="1">
      <alignment/>
      <protection locked="0"/>
    </xf>
    <xf numFmtId="167" fontId="7" fillId="34" borderId="0" xfId="56" applyNumberFormat="1" applyFont="1" applyFill="1" applyBorder="1" applyProtection="1">
      <alignment/>
      <protection locked="0"/>
    </xf>
    <xf numFmtId="0" fontId="7" fillId="0" borderId="0" xfId="0" applyNumberFormat="1" applyFont="1" applyAlignment="1" applyProtection="1">
      <alignment/>
      <protection locked="0"/>
    </xf>
    <xf numFmtId="2" fontId="7" fillId="0" borderId="0" xfId="0" applyNumberFormat="1" applyFont="1" applyAlignment="1" applyProtection="1">
      <alignment/>
      <protection locked="0"/>
    </xf>
    <xf numFmtId="167" fontId="7" fillId="34" borderId="17" xfId="56" applyNumberFormat="1" applyFont="1" applyFill="1" applyBorder="1" applyProtection="1">
      <alignment/>
      <protection locked="0"/>
    </xf>
    <xf numFmtId="168" fontId="7" fillId="36" borderId="17" xfId="0" applyFont="1" applyFill="1" applyBorder="1" applyAlignment="1" applyProtection="1">
      <alignment/>
      <protection locked="0"/>
    </xf>
    <xf numFmtId="167" fontId="6" fillId="34" borderId="44" xfId="56" applyNumberFormat="1" applyFont="1" applyFill="1" applyBorder="1" applyProtection="1">
      <alignment/>
      <protection locked="0"/>
    </xf>
    <xf numFmtId="168" fontId="6" fillId="36" borderId="25" xfId="0" applyFont="1" applyFill="1" applyBorder="1" applyAlignment="1" applyProtection="1">
      <alignment/>
      <protection locked="0"/>
    </xf>
    <xf numFmtId="167" fontId="7" fillId="2" borderId="23" xfId="0" applyNumberFormat="1" applyFont="1" applyFill="1" applyBorder="1" applyAlignment="1" applyProtection="1">
      <alignment horizontal="center"/>
      <protection locked="0"/>
    </xf>
    <xf numFmtId="9" fontId="7" fillId="2" borderId="23" xfId="65" applyFont="1" applyFill="1" applyBorder="1" applyAlignment="1" applyProtection="1">
      <alignment horizontal="center"/>
      <protection locked="0"/>
    </xf>
    <xf numFmtId="167" fontId="7" fillId="34" borderId="45" xfId="56" applyNumberFormat="1" applyFont="1" applyFill="1" applyBorder="1" applyProtection="1">
      <alignment/>
      <protection locked="0"/>
    </xf>
    <xf numFmtId="167" fontId="7" fillId="36" borderId="45" xfId="56" applyNumberFormat="1" applyFont="1" applyFill="1" applyBorder="1" applyProtection="1">
      <alignment/>
      <protection locked="0"/>
    </xf>
    <xf numFmtId="9" fontId="7" fillId="36" borderId="23" xfId="65" applyFont="1" applyFill="1" applyBorder="1" applyAlignment="1" applyProtection="1">
      <alignment/>
      <protection locked="0"/>
    </xf>
    <xf numFmtId="167" fontId="7" fillId="34" borderId="46" xfId="56" applyNumberFormat="1" applyFont="1" applyFill="1" applyBorder="1" applyProtection="1">
      <alignment/>
      <protection locked="0"/>
    </xf>
    <xf numFmtId="167" fontId="7" fillId="36" borderId="46" xfId="56" applyNumberFormat="1" applyFont="1" applyFill="1" applyBorder="1" applyProtection="1">
      <alignment/>
      <protection locked="0"/>
    </xf>
    <xf numFmtId="167" fontId="6" fillId="34" borderId="15" xfId="56" applyNumberFormat="1" applyFont="1" applyFill="1" applyBorder="1" applyProtection="1">
      <alignment/>
      <protection locked="0"/>
    </xf>
    <xf numFmtId="167" fontId="6" fillId="36" borderId="15" xfId="56" applyNumberFormat="1" applyFont="1" applyFill="1" applyBorder="1" applyProtection="1">
      <alignment/>
      <protection locked="0"/>
    </xf>
    <xf numFmtId="168" fontId="7" fillId="2" borderId="15" xfId="0" applyFont="1" applyFill="1" applyBorder="1" applyAlignment="1" applyProtection="1">
      <alignment horizontal="center" vertical="center"/>
      <protection locked="0"/>
    </xf>
    <xf numFmtId="167" fontId="7" fillId="2" borderId="26" xfId="46" applyNumberFormat="1" applyFont="1" applyFill="1" applyBorder="1" applyAlignment="1" applyProtection="1">
      <alignment horizontal="right" vertical="center"/>
      <protection locked="0"/>
    </xf>
    <xf numFmtId="167" fontId="7" fillId="2" borderId="47" xfId="0" applyNumberFormat="1" applyFont="1" applyFill="1" applyBorder="1" applyAlignment="1" applyProtection="1">
      <alignment horizontal="right" vertical="center"/>
      <protection locked="0"/>
    </xf>
    <xf numFmtId="167" fontId="7" fillId="2" borderId="48" xfId="46" applyNumberFormat="1" applyFont="1" applyFill="1" applyBorder="1" applyAlignment="1" applyProtection="1">
      <alignment horizontal="right" vertical="center"/>
      <protection locked="0"/>
    </xf>
    <xf numFmtId="167" fontId="7" fillId="2" borderId="28" xfId="0" applyNumberFormat="1" applyFont="1" applyFill="1" applyBorder="1" applyAlignment="1" applyProtection="1">
      <alignment horizontal="right" vertical="center"/>
      <protection locked="0"/>
    </xf>
    <xf numFmtId="167" fontId="7" fillId="2" borderId="49" xfId="0" applyNumberFormat="1" applyFont="1" applyFill="1" applyBorder="1" applyAlignment="1" applyProtection="1">
      <alignment horizontal="right" vertical="center"/>
      <protection locked="0"/>
    </xf>
    <xf numFmtId="167" fontId="7" fillId="2" borderId="50" xfId="46" applyNumberFormat="1" applyFont="1" applyFill="1" applyBorder="1" applyAlignment="1" applyProtection="1">
      <alignment horizontal="right" vertical="center"/>
      <protection locked="0"/>
    </xf>
    <xf numFmtId="167" fontId="7" fillId="2" borderId="30" xfId="0" applyNumberFormat="1" applyFont="1" applyFill="1" applyBorder="1" applyAlignment="1" applyProtection="1">
      <alignment horizontal="right" vertical="center"/>
      <protection locked="0"/>
    </xf>
    <xf numFmtId="167" fontId="7" fillId="2" borderId="51" xfId="0" applyNumberFormat="1" applyFont="1" applyFill="1" applyBorder="1" applyAlignment="1" applyProtection="1">
      <alignment horizontal="right" vertical="center"/>
      <protection locked="0"/>
    </xf>
    <xf numFmtId="167" fontId="7" fillId="2" borderId="52" xfId="46" applyNumberFormat="1" applyFont="1" applyFill="1" applyBorder="1" applyAlignment="1" applyProtection="1">
      <alignment horizontal="right" vertical="center"/>
      <protection locked="0"/>
    </xf>
    <xf numFmtId="167" fontId="7" fillId="2" borderId="0" xfId="0" applyNumberFormat="1" applyFont="1" applyFill="1" applyBorder="1" applyAlignment="1" applyProtection="1">
      <alignment horizontal="right" vertical="center"/>
      <protection locked="0"/>
    </xf>
    <xf numFmtId="167" fontId="7" fillId="2" borderId="0" xfId="46" applyNumberFormat="1" applyFont="1" applyFill="1" applyBorder="1" applyAlignment="1" applyProtection="1">
      <alignment horizontal="right" vertical="center"/>
      <protection locked="0"/>
    </xf>
    <xf numFmtId="168" fontId="0" fillId="0" borderId="0" xfId="0" applyFill="1" applyAlignment="1" applyProtection="1">
      <alignment/>
      <protection locked="0"/>
    </xf>
    <xf numFmtId="167" fontId="7" fillId="0" borderId="0" xfId="0" applyNumberFormat="1" applyFont="1" applyFill="1" applyBorder="1" applyAlignment="1" applyProtection="1">
      <alignment horizontal="right" vertical="center"/>
      <protection locked="0"/>
    </xf>
    <xf numFmtId="167" fontId="7" fillId="0" borderId="0" xfId="46" applyNumberFormat="1" applyFont="1" applyFill="1" applyBorder="1" applyAlignment="1" applyProtection="1">
      <alignment horizontal="right" vertical="center"/>
      <protection locked="0"/>
    </xf>
    <xf numFmtId="0" fontId="104" fillId="0" borderId="0" xfId="0" applyNumberFormat="1" applyFont="1" applyAlignment="1" applyProtection="1">
      <alignment/>
      <protection locked="0"/>
    </xf>
    <xf numFmtId="167" fontId="100" fillId="36" borderId="23" xfId="0" applyNumberFormat="1" applyFont="1" applyFill="1" applyBorder="1" applyAlignment="1" applyProtection="1">
      <alignment/>
      <protection locked="0"/>
    </xf>
    <xf numFmtId="1" fontId="100" fillId="36" borderId="23" xfId="0" applyNumberFormat="1" applyFont="1" applyFill="1" applyBorder="1" applyAlignment="1" applyProtection="1">
      <alignment/>
      <protection locked="0"/>
    </xf>
    <xf numFmtId="10" fontId="100" fillId="36" borderId="23" xfId="0" applyNumberFormat="1" applyFont="1" applyFill="1" applyBorder="1" applyAlignment="1" applyProtection="1">
      <alignment/>
      <protection locked="0"/>
    </xf>
    <xf numFmtId="0" fontId="105" fillId="0" borderId="0" xfId="0" applyNumberFormat="1" applyFont="1" applyAlignment="1" applyProtection="1">
      <alignment/>
      <protection locked="0"/>
    </xf>
    <xf numFmtId="167" fontId="103" fillId="36" borderId="23" xfId="0" applyNumberFormat="1" applyFont="1" applyFill="1" applyBorder="1" applyAlignment="1" applyProtection="1">
      <alignment/>
      <protection locked="0"/>
    </xf>
    <xf numFmtId="0" fontId="104" fillId="0" borderId="0" xfId="0" applyNumberFormat="1" applyFont="1" applyBorder="1" applyAlignment="1" applyProtection="1">
      <alignment/>
      <protection locked="0"/>
    </xf>
    <xf numFmtId="167" fontId="104" fillId="0" borderId="0" xfId="0" applyNumberFormat="1" applyFont="1" applyBorder="1" applyAlignment="1" applyProtection="1">
      <alignment/>
      <protection locked="0"/>
    </xf>
    <xf numFmtId="0" fontId="100" fillId="2" borderId="0" xfId="0" applyNumberFormat="1" applyFont="1" applyFill="1" applyAlignment="1" applyProtection="1">
      <alignment/>
      <protection locked="0"/>
    </xf>
    <xf numFmtId="0" fontId="100" fillId="36" borderId="0" xfId="0" applyNumberFormat="1" applyFont="1" applyFill="1" applyAlignment="1" applyProtection="1">
      <alignment/>
      <protection locked="0"/>
    </xf>
    <xf numFmtId="168" fontId="100" fillId="2" borderId="0" xfId="0" applyNumberFormat="1" applyFont="1" applyFill="1" applyAlignment="1" applyProtection="1">
      <alignment/>
      <protection locked="0"/>
    </xf>
    <xf numFmtId="168" fontId="100" fillId="36" borderId="0" xfId="0" applyNumberFormat="1" applyFont="1" applyFill="1" applyAlignment="1" applyProtection="1">
      <alignment/>
      <protection locked="0"/>
    </xf>
    <xf numFmtId="168" fontId="100" fillId="0" borderId="0" xfId="0" applyNumberFormat="1" applyFont="1" applyAlignment="1" applyProtection="1">
      <alignment/>
      <protection locked="0"/>
    </xf>
    <xf numFmtId="9" fontId="100" fillId="2" borderId="0" xfId="65" applyFont="1" applyFill="1" applyAlignment="1" applyProtection="1">
      <alignment/>
      <protection locked="0"/>
    </xf>
    <xf numFmtId="0" fontId="104" fillId="0" borderId="0" xfId="0" applyNumberFormat="1" applyFont="1" applyFill="1" applyAlignment="1" applyProtection="1">
      <alignment/>
      <protection locked="0"/>
    </xf>
    <xf numFmtId="0" fontId="104" fillId="0" borderId="0" xfId="0" applyNumberFormat="1" applyFont="1" applyFill="1" applyBorder="1" applyAlignment="1" applyProtection="1">
      <alignment/>
      <protection locked="0"/>
    </xf>
    <xf numFmtId="167" fontId="104" fillId="0" borderId="0" xfId="0" applyNumberFormat="1" applyFont="1" applyFill="1" applyBorder="1" applyAlignment="1" applyProtection="1">
      <alignment/>
      <protection locked="0"/>
    </xf>
    <xf numFmtId="168" fontId="7" fillId="0" borderId="0" xfId="0" applyFont="1" applyFill="1" applyAlignment="1" applyProtection="1">
      <alignment/>
      <protection locked="0"/>
    </xf>
    <xf numFmtId="168" fontId="100" fillId="0" borderId="0" xfId="0" applyNumberFormat="1" applyFont="1" applyFill="1" applyAlignment="1" applyProtection="1">
      <alignment/>
      <protection locked="0"/>
    </xf>
    <xf numFmtId="168" fontId="7" fillId="36" borderId="15" xfId="0" applyFont="1" applyFill="1" applyBorder="1" applyAlignment="1" applyProtection="1">
      <alignment/>
      <protection locked="0"/>
    </xf>
    <xf numFmtId="167" fontId="7" fillId="36" borderId="15" xfId="0" applyNumberFormat="1" applyFont="1" applyFill="1" applyBorder="1" applyAlignment="1" applyProtection="1">
      <alignment/>
      <protection locked="0"/>
    </xf>
    <xf numFmtId="168" fontId="97" fillId="0" borderId="0" xfId="0" applyFont="1" applyAlignment="1" applyProtection="1">
      <alignment/>
      <protection locked="0"/>
    </xf>
    <xf numFmtId="168" fontId="6" fillId="0" borderId="15" xfId="0" applyFont="1" applyBorder="1" applyAlignment="1" applyProtection="1">
      <alignment/>
      <protection locked="0"/>
    </xf>
    <xf numFmtId="167" fontId="6" fillId="36" borderId="15" xfId="0" applyNumberFormat="1" applyFont="1" applyFill="1" applyBorder="1" applyAlignment="1" applyProtection="1">
      <alignment/>
      <protection locked="0"/>
    </xf>
    <xf numFmtId="168" fontId="7" fillId="2" borderId="15" xfId="0" applyFont="1" applyFill="1" applyBorder="1" applyAlignment="1" applyProtection="1">
      <alignment/>
      <protection locked="0"/>
    </xf>
    <xf numFmtId="166" fontId="7" fillId="2" borderId="53" xfId="0" applyNumberFormat="1" applyFont="1" applyFill="1" applyBorder="1" applyAlignment="1" applyProtection="1">
      <alignment/>
      <protection locked="0"/>
    </xf>
    <xf numFmtId="4" fontId="7" fillId="2" borderId="54" xfId="0" applyNumberFormat="1" applyFont="1" applyFill="1" applyBorder="1" applyAlignment="1" applyProtection="1">
      <alignment/>
      <protection locked="0"/>
    </xf>
    <xf numFmtId="168" fontId="7" fillId="2" borderId="48" xfId="0" applyFont="1" applyFill="1" applyBorder="1" applyAlignment="1" applyProtection="1">
      <alignment/>
      <protection locked="0"/>
    </xf>
    <xf numFmtId="168" fontId="7" fillId="36" borderId="48" xfId="0" applyNumberFormat="1" applyFont="1" applyFill="1" applyBorder="1" applyAlignment="1" applyProtection="1">
      <alignment/>
      <protection locked="0"/>
    </xf>
    <xf numFmtId="4" fontId="7" fillId="2" borderId="28" xfId="0" applyNumberFormat="1" applyFont="1" applyFill="1" applyBorder="1" applyAlignment="1" applyProtection="1">
      <alignment/>
      <protection locked="0"/>
    </xf>
    <xf numFmtId="4" fontId="7" fillId="2" borderId="29" xfId="0" applyNumberFormat="1" applyFont="1" applyFill="1" applyBorder="1" applyAlignment="1" applyProtection="1">
      <alignment/>
      <protection locked="0"/>
    </xf>
    <xf numFmtId="168" fontId="7" fillId="2" borderId="50" xfId="0" applyFont="1" applyFill="1" applyBorder="1" applyAlignment="1" applyProtection="1">
      <alignment/>
      <protection locked="0"/>
    </xf>
    <xf numFmtId="168" fontId="7" fillId="36" borderId="50" xfId="0" applyNumberFormat="1" applyFont="1" applyFill="1" applyBorder="1" applyAlignment="1" applyProtection="1">
      <alignment/>
      <protection locked="0"/>
    </xf>
    <xf numFmtId="4" fontId="8" fillId="2" borderId="29" xfId="0" applyNumberFormat="1" applyFont="1" applyFill="1" applyBorder="1" applyAlignment="1" applyProtection="1">
      <alignment/>
      <protection locked="0"/>
    </xf>
    <xf numFmtId="167" fontId="7" fillId="2" borderId="50" xfId="0" applyNumberFormat="1" applyFont="1" applyFill="1" applyBorder="1" applyAlignment="1" applyProtection="1">
      <alignment/>
      <protection locked="0"/>
    </xf>
    <xf numFmtId="167" fontId="7" fillId="36" borderId="50" xfId="0" applyNumberFormat="1" applyFont="1" applyFill="1" applyBorder="1" applyAlignment="1" applyProtection="1">
      <alignment/>
      <protection locked="0"/>
    </xf>
    <xf numFmtId="164" fontId="8" fillId="2" borderId="30" xfId="0" applyNumberFormat="1" applyFont="1" applyFill="1" applyBorder="1" applyAlignment="1" applyProtection="1">
      <alignment/>
      <protection locked="0"/>
    </xf>
    <xf numFmtId="168" fontId="7" fillId="2" borderId="32" xfId="0" applyFont="1" applyFill="1" applyBorder="1" applyAlignment="1" applyProtection="1">
      <alignment/>
      <protection locked="0"/>
    </xf>
    <xf numFmtId="167" fontId="7" fillId="2" borderId="52" xfId="0" applyNumberFormat="1" applyFont="1" applyFill="1" applyBorder="1" applyAlignment="1" applyProtection="1">
      <alignment/>
      <protection locked="0"/>
    </xf>
    <xf numFmtId="167" fontId="7" fillId="36" borderId="52" xfId="0" applyNumberFormat="1" applyFont="1" applyFill="1" applyBorder="1" applyAlignment="1" applyProtection="1">
      <alignment/>
      <protection locked="0"/>
    </xf>
    <xf numFmtId="168" fontId="7" fillId="2" borderId="26" xfId="0" applyFont="1" applyFill="1" applyBorder="1" applyAlignment="1" applyProtection="1">
      <alignment/>
      <protection locked="0"/>
    </xf>
    <xf numFmtId="168" fontId="7" fillId="2" borderId="27" xfId="0" applyFont="1" applyFill="1" applyBorder="1" applyAlignment="1" applyProtection="1">
      <alignment/>
      <protection locked="0"/>
    </xf>
    <xf numFmtId="10" fontId="7" fillId="2" borderId="28" xfId="0" applyNumberFormat="1" applyFont="1" applyFill="1" applyBorder="1" applyAlignment="1" applyProtection="1">
      <alignment/>
      <protection locked="0"/>
    </xf>
    <xf numFmtId="168" fontId="7" fillId="2" borderId="29" xfId="0" applyFont="1" applyFill="1" applyBorder="1" applyAlignment="1" applyProtection="1">
      <alignment/>
      <protection locked="0"/>
    </xf>
    <xf numFmtId="168" fontId="7" fillId="2" borderId="30" xfId="0" applyFont="1" applyFill="1" applyBorder="1" applyAlignment="1" applyProtection="1">
      <alignment/>
      <protection locked="0"/>
    </xf>
    <xf numFmtId="167" fontId="7" fillId="36" borderId="35" xfId="56" applyNumberFormat="1" applyFont="1" applyFill="1" applyBorder="1" applyProtection="1">
      <alignment/>
      <protection locked="0"/>
    </xf>
    <xf numFmtId="9" fontId="7" fillId="36" borderId="49" xfId="65" applyFont="1" applyFill="1" applyBorder="1" applyAlignment="1" applyProtection="1">
      <alignment/>
      <protection locked="0"/>
    </xf>
    <xf numFmtId="167" fontId="7" fillId="36" borderId="40" xfId="56" applyNumberFormat="1" applyFont="1" applyFill="1" applyBorder="1" applyProtection="1">
      <alignment/>
      <protection locked="0"/>
    </xf>
    <xf numFmtId="168" fontId="7" fillId="0" borderId="0" xfId="0" applyFont="1" applyBorder="1" applyAlignment="1" applyProtection="1">
      <alignment horizontal="left"/>
      <protection locked="0"/>
    </xf>
    <xf numFmtId="167" fontId="7" fillId="36" borderId="14" xfId="56" applyNumberFormat="1" applyFont="1" applyFill="1" applyBorder="1" applyProtection="1">
      <alignment/>
      <protection locked="0"/>
    </xf>
    <xf numFmtId="168" fontId="103" fillId="2" borderId="0" xfId="0" applyFont="1" applyFill="1" applyAlignment="1" applyProtection="1">
      <alignment/>
      <protection locked="0"/>
    </xf>
    <xf numFmtId="168" fontId="7" fillId="2" borderId="55" xfId="0" applyFont="1" applyFill="1" applyBorder="1" applyAlignment="1" applyProtection="1">
      <alignment horizontal="left"/>
      <protection locked="0"/>
    </xf>
    <xf numFmtId="0" fontId="7" fillId="2" borderId="56" xfId="0" applyNumberFormat="1" applyFont="1" applyFill="1" applyBorder="1" applyAlignment="1" applyProtection="1">
      <alignment horizontal="left"/>
      <protection locked="0"/>
    </xf>
    <xf numFmtId="167" fontId="7" fillId="2" borderId="57" xfId="0" applyNumberFormat="1" applyFont="1" applyFill="1" applyBorder="1" applyAlignment="1" applyProtection="1">
      <alignment horizontal="right"/>
      <protection locked="0"/>
    </xf>
    <xf numFmtId="168" fontId="7" fillId="2" borderId="58" xfId="0" applyFont="1" applyFill="1" applyBorder="1" applyAlignment="1" applyProtection="1">
      <alignment horizontal="left"/>
      <protection locked="0"/>
    </xf>
    <xf numFmtId="0" fontId="7" fillId="2" borderId="39" xfId="0" applyNumberFormat="1" applyFont="1" applyFill="1" applyBorder="1" applyAlignment="1" applyProtection="1">
      <alignment horizontal="left"/>
      <protection locked="0"/>
    </xf>
    <xf numFmtId="167" fontId="7" fillId="2" borderId="29" xfId="0" applyNumberFormat="1" applyFont="1" applyFill="1" applyBorder="1" applyAlignment="1" applyProtection="1">
      <alignment horizontal="right"/>
      <protection locked="0"/>
    </xf>
    <xf numFmtId="168" fontId="7" fillId="2" borderId="59" xfId="0" applyFont="1" applyFill="1" applyBorder="1" applyAlignment="1" applyProtection="1">
      <alignment horizontal="left"/>
      <protection locked="0"/>
    </xf>
    <xf numFmtId="0" fontId="7" fillId="2" borderId="60" xfId="0" applyNumberFormat="1" applyFont="1" applyFill="1" applyBorder="1" applyAlignment="1" applyProtection="1">
      <alignment horizontal="left"/>
      <protection locked="0"/>
    </xf>
    <xf numFmtId="168" fontId="7" fillId="2" borderId="32" xfId="0" applyFont="1" applyFill="1" applyBorder="1" applyAlignment="1" applyProtection="1">
      <alignment horizontal="right"/>
      <protection locked="0"/>
    </xf>
    <xf numFmtId="168" fontId="6" fillId="0" borderId="0" xfId="0" applyFont="1" applyAlignment="1" applyProtection="1">
      <alignment/>
      <protection locked="0"/>
    </xf>
    <xf numFmtId="9" fontId="0" fillId="0" borderId="0" xfId="65" applyFont="1" applyAlignment="1" applyProtection="1">
      <alignment/>
      <protection locked="0"/>
    </xf>
    <xf numFmtId="9" fontId="7" fillId="0" borderId="23" xfId="65" applyFont="1" applyBorder="1" applyAlignment="1" applyProtection="1">
      <alignment/>
      <protection locked="0"/>
    </xf>
    <xf numFmtId="167" fontId="6" fillId="34" borderId="14" xfId="56" applyNumberFormat="1" applyFont="1" applyFill="1" applyBorder="1" applyAlignment="1" applyProtection="1">
      <alignment horizontal="center"/>
      <protection locked="0"/>
    </xf>
    <xf numFmtId="168" fontId="6" fillId="2" borderId="0" xfId="0" applyFont="1" applyFill="1" applyAlignment="1" applyProtection="1">
      <alignment/>
      <protection locked="0"/>
    </xf>
    <xf numFmtId="0" fontId="6" fillId="2" borderId="23" xfId="0" applyNumberFormat="1" applyFont="1" applyFill="1" applyBorder="1" applyAlignment="1" applyProtection="1">
      <alignment horizontal="center"/>
      <protection locked="0"/>
    </xf>
    <xf numFmtId="168" fontId="7" fillId="2" borderId="0" xfId="0" applyFont="1" applyFill="1" applyBorder="1" applyAlignment="1" applyProtection="1">
      <alignment/>
      <protection locked="0"/>
    </xf>
    <xf numFmtId="0" fontId="7" fillId="0" borderId="0" xfId="0" applyNumberFormat="1" applyFont="1" applyBorder="1" applyAlignment="1" applyProtection="1">
      <alignment/>
      <protection locked="0"/>
    </xf>
    <xf numFmtId="0" fontId="100" fillId="0" borderId="0" xfId="0" applyNumberFormat="1" applyFont="1" applyBorder="1" applyAlignment="1" applyProtection="1">
      <alignment horizontal="center"/>
      <protection locked="0"/>
    </xf>
    <xf numFmtId="168" fontId="6" fillId="0" borderId="0" xfId="0" applyFont="1" applyFill="1" applyAlignment="1" applyProtection="1">
      <alignment horizontal="center"/>
      <protection locked="0"/>
    </xf>
    <xf numFmtId="168" fontId="6" fillId="0" borderId="0" xfId="0" applyFont="1" applyFill="1" applyAlignment="1" applyProtection="1">
      <alignment horizontal="center"/>
      <protection locked="0"/>
    </xf>
    <xf numFmtId="167" fontId="100" fillId="33" borderId="23" xfId="0" applyNumberFormat="1" applyFont="1" applyFill="1" applyBorder="1" applyAlignment="1" applyProtection="1">
      <alignment/>
      <protection locked="0"/>
    </xf>
    <xf numFmtId="10" fontId="100" fillId="33" borderId="23" xfId="0" applyNumberFormat="1" applyFont="1" applyFill="1" applyBorder="1" applyAlignment="1" applyProtection="1">
      <alignment/>
      <protection locked="0"/>
    </xf>
    <xf numFmtId="167" fontId="100" fillId="0" borderId="23" xfId="0" applyNumberFormat="1" applyFont="1" applyBorder="1" applyAlignment="1" applyProtection="1">
      <alignment/>
      <protection locked="0"/>
    </xf>
    <xf numFmtId="168" fontId="8" fillId="0" borderId="0" xfId="0" applyFont="1" applyBorder="1" applyAlignment="1" applyProtection="1">
      <alignment vertical="center" wrapText="1"/>
      <protection locked="0"/>
    </xf>
    <xf numFmtId="168" fontId="7" fillId="0" borderId="0" xfId="0" applyFont="1" applyBorder="1" applyAlignment="1" applyProtection="1">
      <alignment vertical="center" wrapText="1"/>
      <protection locked="0"/>
    </xf>
    <xf numFmtId="44" fontId="7" fillId="0" borderId="0" xfId="0" applyNumberFormat="1" applyFont="1" applyBorder="1" applyAlignment="1" applyProtection="1">
      <alignment vertical="center" wrapText="1"/>
      <protection locked="0"/>
    </xf>
    <xf numFmtId="44" fontId="7" fillId="0" borderId="0" xfId="0" applyNumberFormat="1" applyFont="1" applyBorder="1" applyAlignment="1" applyProtection="1">
      <alignment horizontal="center" vertical="center" wrapText="1"/>
      <protection locked="0"/>
    </xf>
    <xf numFmtId="4" fontId="7" fillId="2" borderId="61" xfId="0" applyNumberFormat="1" applyFont="1" applyFill="1" applyBorder="1" applyAlignment="1" applyProtection="1">
      <alignment/>
      <protection locked="0"/>
    </xf>
    <xf numFmtId="168" fontId="7" fillId="2" borderId="54" xfId="0" applyFont="1" applyFill="1" applyBorder="1" applyAlignment="1" applyProtection="1">
      <alignment/>
      <protection locked="0"/>
    </xf>
    <xf numFmtId="4" fontId="7" fillId="2" borderId="62" xfId="0" applyNumberFormat="1" applyFont="1" applyFill="1" applyBorder="1" applyAlignment="1" applyProtection="1">
      <alignment/>
      <protection locked="0"/>
    </xf>
    <xf numFmtId="4" fontId="7" fillId="2" borderId="23" xfId="0" applyNumberFormat="1" applyFont="1" applyFill="1" applyBorder="1" applyAlignment="1" applyProtection="1">
      <alignment/>
      <protection locked="0"/>
    </xf>
    <xf numFmtId="4" fontId="7" fillId="2" borderId="49" xfId="0" applyNumberFormat="1" applyFont="1" applyFill="1" applyBorder="1" applyAlignment="1" applyProtection="1">
      <alignment/>
      <protection locked="0"/>
    </xf>
    <xf numFmtId="167" fontId="7" fillId="2" borderId="29" xfId="0" applyNumberFormat="1" applyFont="1" applyFill="1" applyBorder="1" applyAlignment="1" applyProtection="1">
      <alignment/>
      <protection locked="0"/>
    </xf>
    <xf numFmtId="4" fontId="8" fillId="2" borderId="23" xfId="0" applyNumberFormat="1" applyFont="1" applyFill="1" applyBorder="1" applyAlignment="1" applyProtection="1">
      <alignment/>
      <protection locked="0"/>
    </xf>
    <xf numFmtId="4" fontId="8" fillId="2" borderId="49" xfId="0" applyNumberFormat="1" applyFont="1" applyFill="1" applyBorder="1" applyAlignment="1" applyProtection="1">
      <alignment/>
      <protection locked="0"/>
    </xf>
    <xf numFmtId="168" fontId="7" fillId="2" borderId="31" xfId="0" applyFont="1" applyFill="1" applyBorder="1" applyAlignment="1" applyProtection="1">
      <alignment/>
      <protection locked="0"/>
    </xf>
    <xf numFmtId="167" fontId="7" fillId="2" borderId="32" xfId="0" applyNumberFormat="1" applyFont="1" applyFill="1" applyBorder="1" applyAlignment="1" applyProtection="1">
      <alignment/>
      <protection locked="0"/>
    </xf>
    <xf numFmtId="168" fontId="7" fillId="2" borderId="51" xfId="0" applyFont="1" applyFill="1" applyBorder="1" applyAlignment="1" applyProtection="1">
      <alignment/>
      <protection locked="0"/>
    </xf>
    <xf numFmtId="164" fontId="8" fillId="2" borderId="0" xfId="0" applyNumberFormat="1" applyFont="1" applyFill="1" applyBorder="1" applyAlignment="1" applyProtection="1">
      <alignment/>
      <protection locked="0"/>
    </xf>
    <xf numFmtId="167" fontId="7" fillId="2" borderId="0" xfId="0" applyNumberFormat="1" applyFont="1" applyFill="1" applyBorder="1" applyAlignment="1" applyProtection="1">
      <alignment/>
      <protection locked="0"/>
    </xf>
    <xf numFmtId="164" fontId="8" fillId="0" borderId="0" xfId="0" applyNumberFormat="1" applyFont="1" applyFill="1" applyBorder="1" applyAlignment="1" applyProtection="1">
      <alignment/>
      <protection locked="0"/>
    </xf>
    <xf numFmtId="168" fontId="7" fillId="0" borderId="0" xfId="0" applyFont="1" applyFill="1" applyBorder="1" applyAlignment="1" applyProtection="1">
      <alignment/>
      <protection locked="0"/>
    </xf>
    <xf numFmtId="167" fontId="7" fillId="0" borderId="0" xfId="0" applyNumberFormat="1" applyFont="1" applyFill="1" applyBorder="1" applyAlignment="1" applyProtection="1">
      <alignment/>
      <protection locked="0"/>
    </xf>
    <xf numFmtId="167" fontId="7" fillId="0" borderId="29" xfId="0" applyNumberFormat="1" applyFont="1" applyFill="1" applyBorder="1" applyAlignment="1" applyProtection="1">
      <alignment/>
      <protection locked="0"/>
    </xf>
    <xf numFmtId="168" fontId="9" fillId="0" borderId="0" xfId="0" applyFont="1" applyAlignment="1" applyProtection="1">
      <alignment wrapText="1"/>
      <protection locked="0"/>
    </xf>
    <xf numFmtId="0" fontId="11"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1" fontId="0" fillId="0" borderId="0" xfId="0" applyNumberFormat="1" applyAlignment="1" applyProtection="1">
      <alignment horizontal="right"/>
      <protection locked="0"/>
    </xf>
    <xf numFmtId="168" fontId="9" fillId="0" borderId="0" xfId="0" applyFont="1" applyAlignment="1" applyProtection="1">
      <alignment/>
      <protection locked="0"/>
    </xf>
    <xf numFmtId="164" fontId="5" fillId="34" borderId="0" xfId="62" applyNumberFormat="1" applyFont="1" applyFill="1" applyBorder="1" applyAlignment="1" applyProtection="1" quotePrefix="1">
      <alignment horizontal="left"/>
      <protection locked="0"/>
    </xf>
    <xf numFmtId="164" fontId="5" fillId="34" borderId="0" xfId="62" applyNumberFormat="1" applyFont="1" applyFill="1" applyBorder="1" applyAlignment="1" applyProtection="1">
      <alignment horizontal="left"/>
      <protection locked="0"/>
    </xf>
    <xf numFmtId="168" fontId="0" fillId="33" borderId="0" xfId="0" applyFill="1" applyBorder="1" applyAlignment="1" applyProtection="1">
      <alignment horizontal="center"/>
      <protection locked="0"/>
    </xf>
    <xf numFmtId="167" fontId="6" fillId="34" borderId="15" xfId="56" applyNumberFormat="1" applyFont="1" applyFill="1" applyBorder="1" applyAlignment="1" applyProtection="1">
      <alignment horizontal="center"/>
      <protection locked="0"/>
    </xf>
    <xf numFmtId="167" fontId="7" fillId="0" borderId="23" xfId="0" applyNumberFormat="1" applyFont="1" applyBorder="1" applyAlignment="1" applyProtection="1">
      <alignment/>
      <protection locked="0"/>
    </xf>
    <xf numFmtId="167" fontId="6" fillId="0" borderId="15" xfId="0" applyNumberFormat="1" applyFont="1" applyBorder="1" applyAlignment="1" applyProtection="1">
      <alignment/>
      <protection locked="0"/>
    </xf>
    <xf numFmtId="0" fontId="100" fillId="0" borderId="0" xfId="0" applyNumberFormat="1" applyFont="1" applyAlignment="1" applyProtection="1">
      <alignment/>
      <protection locked="0"/>
    </xf>
    <xf numFmtId="168" fontId="7" fillId="2" borderId="58" xfId="0" applyFont="1" applyFill="1" applyBorder="1" applyAlignment="1" applyProtection="1">
      <alignment horizontal="left"/>
      <protection locked="0"/>
    </xf>
    <xf numFmtId="10" fontId="8" fillId="0" borderId="0" xfId="66" applyNumberFormat="1" applyFont="1" applyFill="1" applyBorder="1" applyAlignment="1" applyProtection="1">
      <alignment horizontal="center"/>
      <protection locked="0"/>
    </xf>
    <xf numFmtId="165" fontId="8" fillId="0" borderId="0" xfId="0" applyNumberFormat="1" applyFont="1" applyFill="1" applyBorder="1" applyAlignment="1" applyProtection="1">
      <alignment/>
      <protection locked="0"/>
    </xf>
    <xf numFmtId="0" fontId="8" fillId="0" borderId="0" xfId="0" applyNumberFormat="1" applyFont="1" applyAlignment="1" applyProtection="1">
      <alignment horizontal="center"/>
      <protection locked="0"/>
    </xf>
    <xf numFmtId="168" fontId="8" fillId="0" borderId="0" xfId="0" applyFont="1" applyAlignment="1" applyProtection="1">
      <alignment/>
      <protection locked="0"/>
    </xf>
    <xf numFmtId="168" fontId="8" fillId="2" borderId="0" xfId="0" applyFont="1" applyFill="1" applyAlignment="1" applyProtection="1">
      <alignment/>
      <protection locked="0"/>
    </xf>
    <xf numFmtId="9" fontId="8" fillId="2" borderId="23" xfId="65" applyFont="1" applyFill="1" applyBorder="1" applyAlignment="1" applyProtection="1">
      <alignment/>
      <protection locked="0"/>
    </xf>
    <xf numFmtId="9" fontId="8" fillId="36" borderId="23" xfId="65" applyFont="1" applyFill="1" applyBorder="1" applyAlignment="1" applyProtection="1">
      <alignment/>
      <protection locked="0"/>
    </xf>
    <xf numFmtId="168" fontId="8" fillId="2" borderId="23" xfId="0" applyFont="1" applyFill="1" applyBorder="1" applyAlignment="1" applyProtection="1">
      <alignment/>
      <protection locked="0"/>
    </xf>
    <xf numFmtId="168" fontId="8" fillId="36" borderId="23" xfId="0" applyFont="1" applyFill="1" applyBorder="1" applyAlignment="1" applyProtection="1">
      <alignment/>
      <protection locked="0"/>
    </xf>
    <xf numFmtId="168" fontId="100" fillId="2" borderId="63" xfId="0" applyFont="1" applyFill="1" applyBorder="1" applyAlignment="1" applyProtection="1">
      <alignment horizontal="left"/>
      <protection locked="0"/>
    </xf>
    <xf numFmtId="168" fontId="100" fillId="2" borderId="64" xfId="0" applyFont="1" applyFill="1" applyBorder="1" applyAlignment="1" applyProtection="1">
      <alignment horizontal="left"/>
      <protection locked="0"/>
    </xf>
    <xf numFmtId="0" fontId="7" fillId="0" borderId="23" xfId="56" applyNumberFormat="1" applyFont="1" applyBorder="1" applyProtection="1">
      <alignment/>
      <protection locked="0"/>
    </xf>
    <xf numFmtId="0" fontId="7" fillId="0" borderId="23" xfId="56" applyNumberFormat="1" applyFont="1" applyFill="1" applyBorder="1" applyAlignment="1" applyProtection="1">
      <alignment horizontal="right"/>
      <protection locked="0"/>
    </xf>
    <xf numFmtId="0" fontId="6" fillId="0" borderId="23" xfId="56" applyNumberFormat="1" applyFont="1" applyFill="1" applyBorder="1" applyProtection="1">
      <alignment/>
      <protection locked="0"/>
    </xf>
    <xf numFmtId="168" fontId="6" fillId="0" borderId="15" xfId="0" applyFont="1" applyFill="1" applyBorder="1" applyAlignment="1" applyProtection="1">
      <alignment/>
      <protection locked="0"/>
    </xf>
    <xf numFmtId="168" fontId="106" fillId="37" borderId="0" xfId="0" applyFont="1" applyFill="1" applyBorder="1" applyAlignment="1" applyProtection="1">
      <alignment/>
      <protection locked="0"/>
    </xf>
    <xf numFmtId="0" fontId="101" fillId="37" borderId="0" xfId="0" applyNumberFormat="1" applyFont="1" applyFill="1" applyBorder="1" applyAlignment="1" applyProtection="1">
      <alignment/>
      <protection locked="0"/>
    </xf>
    <xf numFmtId="168" fontId="81" fillId="0" borderId="0" xfId="0" applyFont="1" applyAlignment="1" applyProtection="1">
      <alignment/>
      <protection locked="0"/>
    </xf>
    <xf numFmtId="2" fontId="101" fillId="37" borderId="0" xfId="0" applyNumberFormat="1" applyFont="1" applyFill="1" applyBorder="1" applyAlignment="1" applyProtection="1">
      <alignment/>
      <protection locked="0"/>
    </xf>
    <xf numFmtId="0" fontId="101" fillId="37" borderId="0" xfId="0" applyNumberFormat="1" applyFont="1" applyFill="1" applyBorder="1" applyAlignment="1" applyProtection="1">
      <alignment/>
      <protection locked="0"/>
    </xf>
    <xf numFmtId="4" fontId="7" fillId="0" borderId="28" xfId="0" applyNumberFormat="1" applyFont="1" applyBorder="1" applyAlignment="1" applyProtection="1">
      <alignment/>
      <protection locked="0"/>
    </xf>
    <xf numFmtId="4" fontId="7" fillId="0" borderId="23" xfId="0" applyNumberFormat="1" applyFont="1" applyBorder="1" applyAlignment="1" applyProtection="1">
      <alignment/>
      <protection locked="0"/>
    </xf>
    <xf numFmtId="166" fontId="8" fillId="0" borderId="65" xfId="56" applyNumberFormat="1" applyFont="1" applyFill="1" applyBorder="1" applyAlignment="1" applyProtection="1">
      <alignment horizontal="center" vertical="center" wrapText="1"/>
      <protection locked="0"/>
    </xf>
    <xf numFmtId="166" fontId="8" fillId="0" borderId="66" xfId="56" applyNumberFormat="1" applyFont="1" applyFill="1" applyBorder="1" applyAlignment="1" applyProtection="1">
      <alignment horizontal="center" vertical="center" wrapText="1"/>
      <protection locked="0"/>
    </xf>
    <xf numFmtId="10" fontId="4" fillId="0" borderId="23" xfId="65" applyNumberFormat="1" applyFont="1" applyBorder="1" applyAlignment="1">
      <alignment horizontal="center"/>
    </xf>
    <xf numFmtId="4" fontId="4" fillId="0" borderId="54" xfId="0" applyNumberFormat="1" applyFont="1" applyBorder="1" applyAlignment="1">
      <alignment/>
    </xf>
    <xf numFmtId="4" fontId="4" fillId="0" borderId="29" xfId="0" applyNumberFormat="1" applyFont="1" applyBorder="1" applyAlignment="1">
      <alignment/>
    </xf>
    <xf numFmtId="4" fontId="4" fillId="0" borderId="32" xfId="0" applyNumberFormat="1" applyFont="1" applyBorder="1" applyAlignment="1">
      <alignment/>
    </xf>
    <xf numFmtId="166" fontId="7" fillId="0" borderId="53" xfId="0" applyNumberFormat="1" applyFont="1" applyBorder="1" applyAlignment="1" applyProtection="1">
      <alignment/>
      <protection locked="0"/>
    </xf>
    <xf numFmtId="4" fontId="7" fillId="0" borderId="61" xfId="0" applyNumberFormat="1" applyFont="1" applyBorder="1" applyAlignment="1" applyProtection="1">
      <alignment/>
      <protection locked="0"/>
    </xf>
    <xf numFmtId="10" fontId="4" fillId="0" borderId="61" xfId="65" applyNumberFormat="1" applyFont="1" applyBorder="1" applyAlignment="1">
      <alignment horizontal="center"/>
    </xf>
    <xf numFmtId="10" fontId="4" fillId="0" borderId="31" xfId="65" applyNumberFormat="1" applyFont="1" applyBorder="1" applyAlignment="1">
      <alignment horizontal="center"/>
    </xf>
    <xf numFmtId="166" fontId="7" fillId="0" borderId="26" xfId="0" applyNumberFormat="1" applyFont="1" applyFill="1" applyBorder="1" applyAlignment="1" applyProtection="1">
      <alignment/>
      <protection locked="0"/>
    </xf>
    <xf numFmtId="4" fontId="7" fillId="0" borderId="19" xfId="0" applyNumberFormat="1" applyFont="1" applyFill="1" applyBorder="1" applyAlignment="1" applyProtection="1">
      <alignment/>
      <protection locked="0"/>
    </xf>
    <xf numFmtId="10" fontId="8" fillId="0" borderId="19" xfId="66" applyNumberFormat="1" applyFont="1" applyFill="1" applyBorder="1" applyAlignment="1" applyProtection="1">
      <alignment horizontal="center"/>
      <protection locked="0"/>
    </xf>
    <xf numFmtId="4" fontId="7" fillId="0" borderId="27" xfId="0" applyNumberFormat="1" applyFont="1" applyFill="1" applyBorder="1" applyAlignment="1" applyProtection="1">
      <alignment/>
      <protection locked="0"/>
    </xf>
    <xf numFmtId="4" fontId="7" fillId="0" borderId="28" xfId="0" applyNumberFormat="1" applyFont="1" applyFill="1" applyBorder="1" applyAlignment="1" applyProtection="1">
      <alignment/>
      <protection locked="0"/>
    </xf>
    <xf numFmtId="4" fontId="7" fillId="0" borderId="23" xfId="0" applyNumberFormat="1" applyFont="1" applyFill="1" applyBorder="1" applyAlignment="1" applyProtection="1">
      <alignment/>
      <protection locked="0"/>
    </xf>
    <xf numFmtId="10" fontId="8" fillId="0" borderId="23" xfId="66" applyNumberFormat="1" applyFont="1" applyFill="1" applyBorder="1" applyAlignment="1" applyProtection="1">
      <alignment horizontal="center"/>
      <protection locked="0"/>
    </xf>
    <xf numFmtId="4" fontId="7" fillId="0" borderId="29" xfId="0" applyNumberFormat="1" applyFont="1" applyFill="1" applyBorder="1" applyAlignment="1" applyProtection="1">
      <alignment/>
      <protection locked="0"/>
    </xf>
    <xf numFmtId="4" fontId="8" fillId="0" borderId="23" xfId="0" applyNumberFormat="1" applyFont="1" applyFill="1" applyBorder="1" applyAlignment="1" applyProtection="1">
      <alignment/>
      <protection locked="0"/>
    </xf>
    <xf numFmtId="164" fontId="8" fillId="0" borderId="30" xfId="0" applyNumberFormat="1" applyFont="1" applyFill="1" applyBorder="1" applyAlignment="1" applyProtection="1">
      <alignment/>
      <protection locked="0"/>
    </xf>
    <xf numFmtId="164" fontId="8" fillId="0" borderId="31" xfId="0" applyNumberFormat="1" applyFont="1" applyFill="1" applyBorder="1" applyAlignment="1" applyProtection="1">
      <alignment/>
      <protection locked="0"/>
    </xf>
    <xf numFmtId="10" fontId="8" fillId="0" borderId="31" xfId="66" applyNumberFormat="1" applyFont="1" applyFill="1" applyBorder="1" applyAlignment="1" applyProtection="1">
      <alignment horizontal="center"/>
      <protection locked="0"/>
    </xf>
    <xf numFmtId="165" fontId="8" fillId="0" borderId="32" xfId="0" applyNumberFormat="1" applyFont="1" applyFill="1" applyBorder="1" applyAlignment="1" applyProtection="1">
      <alignment/>
      <protection locked="0"/>
    </xf>
    <xf numFmtId="166" fontId="7" fillId="0" borderId="53" xfId="0" applyNumberFormat="1" applyFont="1" applyFill="1" applyBorder="1" applyAlignment="1" applyProtection="1">
      <alignment/>
      <protection locked="0"/>
    </xf>
    <xf numFmtId="4" fontId="7" fillId="0" borderId="61" xfId="0" applyNumberFormat="1" applyFont="1" applyFill="1" applyBorder="1" applyAlignment="1" applyProtection="1">
      <alignment/>
      <protection locked="0"/>
    </xf>
    <xf numFmtId="10" fontId="4" fillId="0" borderId="61" xfId="65" applyNumberFormat="1" applyFont="1" applyFill="1" applyBorder="1" applyAlignment="1">
      <alignment horizontal="center"/>
    </xf>
    <xf numFmtId="4" fontId="4" fillId="0" borderId="54" xfId="0" applyNumberFormat="1" applyFont="1" applyFill="1" applyBorder="1" applyAlignment="1">
      <alignment/>
    </xf>
    <xf numFmtId="4" fontId="7" fillId="0" borderId="28" xfId="0" applyNumberFormat="1" applyFont="1" applyFill="1" applyBorder="1" applyAlignment="1" applyProtection="1">
      <alignment/>
      <protection locked="0"/>
    </xf>
    <xf numFmtId="4" fontId="7" fillId="0" borderId="23" xfId="0" applyNumberFormat="1" applyFont="1" applyFill="1" applyBorder="1" applyAlignment="1" applyProtection="1">
      <alignment/>
      <protection locked="0"/>
    </xf>
    <xf numFmtId="10" fontId="4" fillId="0" borderId="23" xfId="65" applyNumberFormat="1" applyFont="1" applyFill="1" applyBorder="1" applyAlignment="1">
      <alignment horizontal="center"/>
    </xf>
    <xf numFmtId="4" fontId="4" fillId="0" borderId="29" xfId="0" applyNumberFormat="1" applyFont="1" applyFill="1" applyBorder="1" applyAlignment="1">
      <alignment/>
    </xf>
    <xf numFmtId="10" fontId="4" fillId="0" borderId="31" xfId="65" applyNumberFormat="1" applyFont="1" applyFill="1" applyBorder="1" applyAlignment="1">
      <alignment horizontal="center"/>
    </xf>
    <xf numFmtId="4" fontId="4" fillId="0" borderId="32" xfId="0" applyNumberFormat="1" applyFont="1" applyFill="1" applyBorder="1" applyAlignment="1">
      <alignment/>
    </xf>
    <xf numFmtId="167" fontId="7" fillId="0" borderId="35" xfId="56" applyNumberFormat="1" applyFont="1" applyFill="1" applyBorder="1" applyProtection="1">
      <alignment/>
      <protection locked="0"/>
    </xf>
    <xf numFmtId="9" fontId="7" fillId="0" borderId="49" xfId="65" applyFont="1" applyFill="1" applyBorder="1" applyAlignment="1" applyProtection="1">
      <alignment/>
      <protection locked="0"/>
    </xf>
    <xf numFmtId="167" fontId="7" fillId="0" borderId="40" xfId="56" applyNumberFormat="1" applyFont="1" applyFill="1" applyBorder="1" applyProtection="1">
      <alignment/>
      <protection locked="0"/>
    </xf>
    <xf numFmtId="167" fontId="7" fillId="0" borderId="14" xfId="56" applyNumberFormat="1" applyFont="1" applyFill="1" applyBorder="1" applyProtection="1">
      <alignment/>
      <protection locked="0"/>
    </xf>
    <xf numFmtId="0" fontId="104" fillId="33" borderId="67" xfId="59" applyFont="1" applyFill="1" applyBorder="1">
      <alignment/>
      <protection/>
    </xf>
    <xf numFmtId="0" fontId="104" fillId="33" borderId="0" xfId="59" applyFont="1" applyFill="1" applyBorder="1">
      <alignment/>
      <protection/>
    </xf>
    <xf numFmtId="168" fontId="0" fillId="33" borderId="0" xfId="0" applyFill="1" applyAlignment="1">
      <alignment/>
    </xf>
    <xf numFmtId="167" fontId="104" fillId="33" borderId="0" xfId="59" applyNumberFormat="1" applyFont="1" applyFill="1" applyBorder="1" applyAlignment="1">
      <alignment horizontal="right"/>
      <protection/>
    </xf>
    <xf numFmtId="0" fontId="104" fillId="33" borderId="0" xfId="59" applyFont="1" applyFill="1">
      <alignment/>
      <protection/>
    </xf>
    <xf numFmtId="0" fontId="0" fillId="33" borderId="0" xfId="0" applyNumberFormat="1" applyFill="1" applyAlignment="1">
      <alignment/>
    </xf>
    <xf numFmtId="0" fontId="107" fillId="33" borderId="0" xfId="59" applyFont="1" applyFill="1" applyAlignment="1">
      <alignment/>
      <protection/>
    </xf>
    <xf numFmtId="0" fontId="107" fillId="33" borderId="0" xfId="59" applyFont="1" applyFill="1" applyBorder="1" applyAlignment="1">
      <alignment/>
      <protection/>
    </xf>
    <xf numFmtId="167" fontId="107" fillId="33" borderId="0" xfId="59" applyNumberFormat="1" applyFont="1" applyFill="1" applyAlignment="1">
      <alignment horizontal="right"/>
      <protection/>
    </xf>
    <xf numFmtId="167" fontId="105" fillId="33" borderId="0" xfId="59" applyNumberFormat="1" applyFont="1" applyFill="1" applyBorder="1" applyAlignment="1">
      <alignment horizontal="center"/>
      <protection/>
    </xf>
    <xf numFmtId="0" fontId="105" fillId="33" borderId="0" xfId="59" applyFont="1" applyFill="1" applyBorder="1" applyAlignment="1">
      <alignment horizontal="center" vertical="center" wrapText="1"/>
      <protection/>
    </xf>
    <xf numFmtId="167" fontId="105" fillId="33" borderId="0" xfId="59" applyNumberFormat="1" applyFont="1" applyFill="1" applyBorder="1" applyAlignment="1">
      <alignment horizontal="right" vertical="center" wrapText="1"/>
      <protection/>
    </xf>
    <xf numFmtId="167" fontId="104" fillId="33" borderId="0" xfId="59" applyNumberFormat="1" applyFont="1" applyFill="1" applyBorder="1">
      <alignment/>
      <protection/>
    </xf>
    <xf numFmtId="167" fontId="0" fillId="33" borderId="0" xfId="0" applyNumberFormat="1" applyFill="1" applyBorder="1" applyAlignment="1">
      <alignment horizontal="right"/>
    </xf>
    <xf numFmtId="0" fontId="108" fillId="33" borderId="0" xfId="0" applyNumberFormat="1" applyFont="1" applyFill="1" applyBorder="1" applyAlignment="1">
      <alignment/>
    </xf>
    <xf numFmtId="0" fontId="0" fillId="33" borderId="0" xfId="0" applyNumberFormat="1" applyFill="1" applyBorder="1" applyAlignment="1">
      <alignment/>
    </xf>
    <xf numFmtId="167" fontId="0" fillId="33" borderId="0" xfId="0" applyNumberFormat="1" applyFill="1" applyAlignment="1">
      <alignment horizontal="right"/>
    </xf>
    <xf numFmtId="168" fontId="0" fillId="33" borderId="0" xfId="0" applyFill="1" applyBorder="1" applyAlignment="1">
      <alignment/>
    </xf>
    <xf numFmtId="0" fontId="105" fillId="33" borderId="68" xfId="59" applyFont="1" applyFill="1" applyBorder="1" applyAlignment="1">
      <alignment horizontal="center" vertical="center" wrapText="1"/>
      <protection/>
    </xf>
    <xf numFmtId="0" fontId="105" fillId="33" borderId="69" xfId="59" applyFont="1" applyFill="1" applyBorder="1" applyAlignment="1">
      <alignment horizontal="center" vertical="center" wrapText="1"/>
      <protection/>
    </xf>
    <xf numFmtId="0" fontId="109" fillId="33" borderId="67" xfId="59" applyFont="1" applyFill="1" applyBorder="1">
      <alignment/>
      <protection/>
    </xf>
    <xf numFmtId="0" fontId="109" fillId="33" borderId="0" xfId="59" applyFont="1" applyFill="1">
      <alignment/>
      <protection/>
    </xf>
    <xf numFmtId="0" fontId="110" fillId="33" borderId="69" xfId="59" applyFont="1" applyFill="1" applyBorder="1" applyAlignment="1">
      <alignment horizontal="center" vertical="center" wrapText="1"/>
      <protection/>
    </xf>
    <xf numFmtId="0" fontId="0" fillId="33" borderId="0" xfId="0" applyNumberFormat="1" applyFont="1" applyFill="1" applyBorder="1" applyAlignment="1">
      <alignment/>
    </xf>
    <xf numFmtId="168" fontId="0" fillId="33" borderId="0" xfId="0" applyFont="1" applyFill="1" applyAlignment="1">
      <alignment/>
    </xf>
    <xf numFmtId="0" fontId="111" fillId="33" borderId="70" xfId="59" applyFont="1" applyFill="1" applyBorder="1">
      <alignment/>
      <protection/>
    </xf>
    <xf numFmtId="0" fontId="0" fillId="0" borderId="0" xfId="0" applyNumberFormat="1" applyAlignment="1" applyProtection="1">
      <alignment/>
      <protection locked="0"/>
    </xf>
    <xf numFmtId="0" fontId="0" fillId="0" borderId="0" xfId="0" applyNumberFormat="1" applyAlignment="1" applyProtection="1" quotePrefix="1">
      <alignment horizontal="right"/>
      <protection locked="0"/>
    </xf>
    <xf numFmtId="0" fontId="12" fillId="0" borderId="0" xfId="61" applyFont="1">
      <alignment/>
      <protection/>
    </xf>
    <xf numFmtId="0" fontId="112" fillId="33" borderId="0" xfId="61" applyFont="1" applyFill="1" applyAlignment="1">
      <alignment/>
      <protection/>
    </xf>
    <xf numFmtId="0" fontId="12" fillId="33" borderId="0" xfId="61" applyFont="1" applyFill="1">
      <alignment/>
      <protection/>
    </xf>
    <xf numFmtId="0" fontId="12" fillId="33" borderId="0" xfId="61" applyFont="1" applyFill="1" applyAlignment="1">
      <alignment horizontal="center" vertical="center"/>
      <protection/>
    </xf>
    <xf numFmtId="0" fontId="12" fillId="33" borderId="0" xfId="61" applyFont="1" applyFill="1" applyAlignment="1">
      <alignment horizontal="justify"/>
      <protection/>
    </xf>
    <xf numFmtId="0" fontId="12" fillId="33" borderId="0" xfId="61" applyFont="1" applyFill="1" applyAlignment="1">
      <alignment vertical="center" wrapText="1"/>
      <protection/>
    </xf>
    <xf numFmtId="0" fontId="12" fillId="33" borderId="0" xfId="61" applyFont="1" applyFill="1" applyBorder="1">
      <alignment/>
      <protection/>
    </xf>
    <xf numFmtId="0" fontId="0" fillId="33" borderId="0" xfId="0" applyNumberFormat="1" applyFont="1" applyFill="1" applyAlignment="1">
      <alignment/>
    </xf>
    <xf numFmtId="168" fontId="0" fillId="33" borderId="0" xfId="0" applyFont="1" applyFill="1" applyAlignment="1">
      <alignment/>
    </xf>
    <xf numFmtId="0" fontId="0" fillId="33" borderId="0" xfId="0" applyNumberFormat="1" applyFill="1" applyAlignment="1" applyProtection="1">
      <alignment/>
      <protection locked="0"/>
    </xf>
    <xf numFmtId="168" fontId="113" fillId="0" borderId="0" xfId="0" applyFont="1" applyAlignment="1">
      <alignment horizontal="justify"/>
    </xf>
    <xf numFmtId="0" fontId="7" fillId="0" borderId="0" xfId="0" applyNumberFormat="1" applyFont="1" applyAlignment="1" applyProtection="1">
      <alignment/>
      <protection locked="0"/>
    </xf>
    <xf numFmtId="168" fontId="0" fillId="34" borderId="0" xfId="0" applyFill="1" applyBorder="1" applyAlignment="1" applyProtection="1" quotePrefix="1">
      <alignment/>
      <protection locked="0"/>
    </xf>
    <xf numFmtId="168" fontId="0" fillId="33" borderId="21" xfId="0" applyFill="1" applyBorder="1" applyAlignment="1" applyProtection="1" quotePrefix="1">
      <alignment/>
      <protection locked="0"/>
    </xf>
    <xf numFmtId="0" fontId="7" fillId="2" borderId="23" xfId="0" applyNumberFormat="1" applyFont="1" applyFill="1" applyBorder="1" applyAlignment="1" applyProtection="1">
      <alignment horizontal="center"/>
      <protection locked="0"/>
    </xf>
    <xf numFmtId="168" fontId="7" fillId="2" borderId="23" xfId="0" applyFont="1" applyFill="1" applyBorder="1" applyAlignment="1" applyProtection="1">
      <alignment/>
      <protection locked="0"/>
    </xf>
    <xf numFmtId="168" fontId="0" fillId="33" borderId="0" xfId="0" applyFont="1" applyFill="1" applyBorder="1" applyAlignment="1">
      <alignment/>
    </xf>
    <xf numFmtId="0" fontId="109" fillId="33" borderId="0" xfId="59" applyFont="1" applyFill="1" applyBorder="1">
      <alignment/>
      <protection/>
    </xf>
    <xf numFmtId="0" fontId="114" fillId="33" borderId="0" xfId="59" applyFont="1" applyFill="1" applyBorder="1" applyAlignment="1">
      <alignment/>
      <protection/>
    </xf>
    <xf numFmtId="167" fontId="104" fillId="33" borderId="0" xfId="59" applyNumberFormat="1" applyFont="1" applyFill="1" applyBorder="1" applyAlignment="1">
      <alignment vertical="center"/>
      <protection/>
    </xf>
    <xf numFmtId="0" fontId="113" fillId="33" borderId="0" xfId="0" applyNumberFormat="1" applyFont="1" applyFill="1" applyAlignment="1">
      <alignment/>
    </xf>
    <xf numFmtId="0" fontId="104" fillId="33" borderId="0" xfId="0" applyNumberFormat="1" applyFont="1" applyFill="1" applyBorder="1" applyAlignment="1">
      <alignment/>
    </xf>
    <xf numFmtId="0" fontId="113" fillId="33" borderId="0" xfId="0" applyNumberFormat="1" applyFont="1" applyFill="1" applyBorder="1" applyAlignment="1">
      <alignment/>
    </xf>
    <xf numFmtId="167" fontId="113" fillId="33" borderId="0" xfId="0" applyNumberFormat="1" applyFont="1" applyFill="1" applyAlignment="1">
      <alignment horizontal="right"/>
    </xf>
    <xf numFmtId="168" fontId="113" fillId="33" borderId="0" xfId="0" applyFont="1" applyFill="1" applyAlignment="1">
      <alignment/>
    </xf>
    <xf numFmtId="0" fontId="115" fillId="33" borderId="70" xfId="59" applyFont="1" applyFill="1" applyBorder="1">
      <alignment/>
      <protection/>
    </xf>
    <xf numFmtId="168" fontId="0" fillId="33" borderId="0" xfId="0" applyFill="1" applyAlignment="1">
      <alignment wrapText="1"/>
    </xf>
    <xf numFmtId="168" fontId="0" fillId="33" borderId="0" xfId="0" applyFill="1" applyBorder="1" applyAlignment="1">
      <alignment wrapText="1"/>
    </xf>
    <xf numFmtId="168" fontId="0" fillId="33" borderId="0" xfId="0" applyFont="1" applyFill="1" applyBorder="1" applyAlignment="1">
      <alignment wrapText="1"/>
    </xf>
    <xf numFmtId="0" fontId="105" fillId="33" borderId="71" xfId="59" applyFont="1" applyFill="1" applyBorder="1" applyAlignment="1">
      <alignment wrapText="1"/>
      <protection/>
    </xf>
    <xf numFmtId="0" fontId="104" fillId="33" borderId="0" xfId="59" applyFont="1" applyFill="1" applyBorder="1" applyAlignment="1">
      <alignment wrapText="1"/>
      <protection/>
    </xf>
    <xf numFmtId="0" fontId="109" fillId="33" borderId="0" xfId="59" applyFont="1" applyFill="1" applyBorder="1" applyAlignment="1">
      <alignment wrapText="1"/>
      <protection/>
    </xf>
    <xf numFmtId="0" fontId="115" fillId="33" borderId="70" xfId="59" applyFont="1" applyFill="1" applyBorder="1" applyAlignment="1">
      <alignment wrapText="1"/>
      <protection/>
    </xf>
    <xf numFmtId="0" fontId="116" fillId="33" borderId="0" xfId="59" applyFont="1" applyFill="1" applyAlignment="1">
      <alignment wrapText="1"/>
      <protection/>
    </xf>
    <xf numFmtId="0" fontId="116" fillId="33" borderId="0" xfId="59" applyFont="1" applyFill="1" applyBorder="1" applyAlignment="1">
      <alignment wrapText="1"/>
      <protection/>
    </xf>
    <xf numFmtId="0" fontId="117" fillId="33" borderId="0" xfId="59" applyFont="1" applyFill="1" applyBorder="1" applyAlignment="1">
      <alignment wrapText="1"/>
      <protection/>
    </xf>
    <xf numFmtId="167" fontId="116" fillId="33" borderId="0" xfId="59" applyNumberFormat="1" applyFont="1" applyFill="1" applyBorder="1" applyAlignment="1">
      <alignment horizontal="right" wrapText="1"/>
      <protection/>
    </xf>
    <xf numFmtId="168" fontId="117" fillId="33" borderId="0" xfId="0" applyFont="1" applyFill="1" applyAlignment="1">
      <alignment wrapText="1"/>
    </xf>
    <xf numFmtId="0" fontId="0" fillId="33" borderId="0" xfId="0" applyNumberFormat="1" applyFill="1" applyAlignment="1" applyProtection="1">
      <alignment wrapText="1"/>
      <protection locked="0"/>
    </xf>
    <xf numFmtId="0" fontId="107" fillId="33" borderId="0" xfId="59" applyFont="1" applyFill="1" applyAlignment="1">
      <alignment wrapText="1"/>
      <protection/>
    </xf>
    <xf numFmtId="0" fontId="107" fillId="33" borderId="0" xfId="59" applyFont="1" applyFill="1" applyBorder="1" applyAlignment="1">
      <alignment wrapText="1"/>
      <protection/>
    </xf>
    <xf numFmtId="0" fontId="114" fillId="33" borderId="0" xfId="59" applyFont="1" applyFill="1" applyBorder="1" applyAlignment="1">
      <alignment wrapText="1"/>
      <protection/>
    </xf>
    <xf numFmtId="167" fontId="107" fillId="33" borderId="0" xfId="59" applyNumberFormat="1" applyFont="1" applyFill="1" applyAlignment="1">
      <alignment horizontal="right" wrapText="1"/>
      <protection/>
    </xf>
    <xf numFmtId="0" fontId="0" fillId="33" borderId="0" xfId="0" applyNumberFormat="1" applyFill="1" applyAlignment="1">
      <alignment wrapText="1"/>
    </xf>
    <xf numFmtId="0" fontId="0" fillId="33" borderId="0" xfId="0" applyNumberFormat="1" applyFill="1" applyBorder="1" applyAlignment="1">
      <alignment wrapText="1"/>
    </xf>
    <xf numFmtId="0" fontId="0" fillId="33" borderId="0" xfId="0" applyNumberFormat="1" applyFont="1" applyFill="1" applyBorder="1" applyAlignment="1">
      <alignment wrapText="1"/>
    </xf>
    <xf numFmtId="167" fontId="0" fillId="33" borderId="0" xfId="0" applyNumberFormat="1" applyFill="1" applyAlignment="1">
      <alignment horizontal="right" wrapText="1"/>
    </xf>
    <xf numFmtId="0" fontId="115" fillId="33" borderId="71" xfId="59" applyFont="1" applyFill="1" applyBorder="1">
      <alignment/>
      <protection/>
    </xf>
    <xf numFmtId="0" fontId="115" fillId="33" borderId="71" xfId="59" applyFont="1" applyFill="1" applyBorder="1" applyAlignment="1">
      <alignment vertical="center"/>
      <protection/>
    </xf>
    <xf numFmtId="0" fontId="104" fillId="33" borderId="0" xfId="60" applyFont="1" applyFill="1" applyProtection="1">
      <alignment/>
      <protection hidden="1"/>
    </xf>
    <xf numFmtId="0" fontId="118" fillId="33" borderId="0" xfId="60" applyFont="1" applyFill="1" applyProtection="1">
      <alignment/>
      <protection hidden="1"/>
    </xf>
    <xf numFmtId="168" fontId="104" fillId="33" borderId="0" xfId="60" applyNumberFormat="1" applyFont="1" applyFill="1" applyProtection="1">
      <alignment/>
      <protection hidden="1"/>
    </xf>
    <xf numFmtId="0" fontId="118" fillId="33" borderId="0" xfId="59" applyFont="1" applyFill="1" applyBorder="1" applyProtection="1">
      <alignment/>
      <protection hidden="1"/>
    </xf>
    <xf numFmtId="0" fontId="104" fillId="33" borderId="0" xfId="59" applyFont="1" applyFill="1" applyBorder="1" applyProtection="1">
      <alignment/>
      <protection hidden="1"/>
    </xf>
    <xf numFmtId="168" fontId="0" fillId="33" borderId="0" xfId="0" applyFill="1" applyAlignment="1" applyProtection="1">
      <alignment/>
      <protection hidden="1"/>
    </xf>
    <xf numFmtId="0" fontId="105" fillId="33" borderId="71" xfId="59" applyFont="1" applyFill="1" applyBorder="1" applyProtection="1">
      <alignment/>
      <protection hidden="1"/>
    </xf>
    <xf numFmtId="0" fontId="104" fillId="33" borderId="67" xfId="59" applyFont="1" applyFill="1" applyBorder="1" applyProtection="1">
      <alignment/>
      <protection hidden="1"/>
    </xf>
    <xf numFmtId="0" fontId="109" fillId="33" borderId="67" xfId="59" applyFont="1" applyFill="1" applyBorder="1" applyProtection="1">
      <alignment/>
      <protection hidden="1"/>
    </xf>
    <xf numFmtId="0" fontId="115" fillId="33" borderId="70" xfId="59" applyFont="1" applyFill="1" applyBorder="1" applyProtection="1">
      <alignment/>
      <protection hidden="1"/>
    </xf>
    <xf numFmtId="0" fontId="116" fillId="33" borderId="0" xfId="59" applyFont="1" applyFill="1" applyProtection="1">
      <alignment/>
      <protection hidden="1"/>
    </xf>
    <xf numFmtId="0" fontId="104" fillId="33" borderId="0" xfId="59" applyFont="1" applyFill="1" applyProtection="1">
      <alignment/>
      <protection hidden="1"/>
    </xf>
    <xf numFmtId="0" fontId="109" fillId="33" borderId="0" xfId="59" applyFont="1" applyFill="1" applyProtection="1">
      <alignment/>
      <protection hidden="1"/>
    </xf>
    <xf numFmtId="168" fontId="104" fillId="33" borderId="0" xfId="60" applyNumberFormat="1" applyFont="1" applyFill="1" applyBorder="1" applyProtection="1">
      <alignment/>
      <protection hidden="1"/>
    </xf>
    <xf numFmtId="0" fontId="119" fillId="38" borderId="72" xfId="59" applyFont="1" applyFill="1" applyBorder="1" applyProtection="1">
      <alignment/>
      <protection hidden="1"/>
    </xf>
    <xf numFmtId="0" fontId="113" fillId="38" borderId="72" xfId="59" applyFont="1" applyFill="1" applyBorder="1" applyProtection="1">
      <alignment/>
      <protection hidden="1"/>
    </xf>
    <xf numFmtId="0" fontId="104" fillId="38" borderId="72" xfId="59" applyFont="1" applyFill="1" applyBorder="1" applyProtection="1">
      <alignment/>
      <protection hidden="1"/>
    </xf>
    <xf numFmtId="0" fontId="104" fillId="38" borderId="73" xfId="59" applyFont="1" applyFill="1" applyBorder="1" applyProtection="1">
      <alignment/>
      <protection hidden="1"/>
    </xf>
    <xf numFmtId="168" fontId="104" fillId="33" borderId="0" xfId="60" applyNumberFormat="1" applyFont="1" applyFill="1" applyAlignment="1" applyProtection="1">
      <alignment horizontal="left" vertical="center"/>
      <protection hidden="1"/>
    </xf>
    <xf numFmtId="168" fontId="104" fillId="33" borderId="0" xfId="60" applyNumberFormat="1" applyFont="1" applyFill="1" applyBorder="1" applyAlignment="1" applyProtection="1">
      <alignment horizontal="left" vertical="center"/>
      <protection hidden="1"/>
    </xf>
    <xf numFmtId="0" fontId="104" fillId="38" borderId="0" xfId="59" applyFont="1" applyFill="1" applyBorder="1" applyAlignment="1" applyProtection="1">
      <alignment horizontal="left" vertical="center"/>
      <protection hidden="1"/>
    </xf>
    <xf numFmtId="0" fontId="104" fillId="38" borderId="74" xfId="59" applyFont="1" applyFill="1" applyBorder="1" applyAlignment="1" applyProtection="1">
      <alignment horizontal="left" vertical="center"/>
      <protection hidden="1"/>
    </xf>
    <xf numFmtId="0" fontId="104" fillId="33" borderId="0" xfId="59" applyFont="1" applyFill="1" applyBorder="1" applyAlignment="1" applyProtection="1">
      <alignment horizontal="left" vertical="center"/>
      <protection hidden="1"/>
    </xf>
    <xf numFmtId="0" fontId="104" fillId="33" borderId="0" xfId="60" applyFont="1" applyFill="1" applyAlignment="1" applyProtection="1">
      <alignment horizontal="left" vertical="center"/>
      <protection hidden="1"/>
    </xf>
    <xf numFmtId="0" fontId="104" fillId="38" borderId="0" xfId="59" applyFont="1" applyFill="1" applyBorder="1" applyAlignment="1" applyProtection="1">
      <alignment horizontal="center" vertical="center"/>
      <protection hidden="1"/>
    </xf>
    <xf numFmtId="0" fontId="104" fillId="38" borderId="75" xfId="59" applyFont="1" applyFill="1" applyBorder="1" applyAlignment="1" applyProtection="1">
      <alignment horizontal="left" vertical="center"/>
      <protection hidden="1"/>
    </xf>
    <xf numFmtId="0" fontId="104" fillId="38" borderId="75" xfId="59" applyFont="1" applyFill="1" applyBorder="1" applyAlignment="1" applyProtection="1" quotePrefix="1">
      <alignment horizontal="left" vertical="center"/>
      <protection hidden="1"/>
    </xf>
    <xf numFmtId="168" fontId="104" fillId="38" borderId="75" xfId="60" applyNumberFormat="1" applyFont="1" applyFill="1" applyBorder="1" applyAlignment="1" applyProtection="1">
      <alignment horizontal="left" vertical="center"/>
      <protection hidden="1"/>
    </xf>
    <xf numFmtId="0" fontId="104" fillId="38" borderId="76" xfId="59" applyFont="1" applyFill="1" applyBorder="1" applyAlignment="1" applyProtection="1">
      <alignment horizontal="left" vertical="center"/>
      <protection hidden="1"/>
    </xf>
    <xf numFmtId="168" fontId="104" fillId="33" borderId="0" xfId="60" applyNumberFormat="1" applyFont="1" applyFill="1" applyAlignment="1" applyProtection="1">
      <alignment vertical="center"/>
      <protection hidden="1"/>
    </xf>
    <xf numFmtId="168" fontId="104" fillId="33" borderId="0" xfId="60" applyNumberFormat="1" applyFont="1" applyFill="1" applyBorder="1" applyAlignment="1" applyProtection="1">
      <alignment vertical="center"/>
      <protection hidden="1"/>
    </xf>
    <xf numFmtId="0" fontId="118" fillId="33" borderId="0" xfId="59" applyFont="1" applyFill="1" applyBorder="1" applyAlignment="1" applyProtection="1">
      <alignment vertical="center"/>
      <protection hidden="1"/>
    </xf>
    <xf numFmtId="0" fontId="104" fillId="33" borderId="0" xfId="59" applyFont="1" applyFill="1" applyBorder="1" applyAlignment="1" applyProtection="1">
      <alignment vertical="center"/>
      <protection hidden="1"/>
    </xf>
    <xf numFmtId="0" fontId="105" fillId="33" borderId="0" xfId="59" applyFont="1" applyFill="1" applyBorder="1" applyAlignment="1" applyProtection="1">
      <alignment horizontal="center" vertical="center"/>
      <protection hidden="1"/>
    </xf>
    <xf numFmtId="0" fontId="104" fillId="33" borderId="0" xfId="60" applyFont="1" applyFill="1" applyAlignment="1" applyProtection="1">
      <alignment vertical="center"/>
      <protection hidden="1"/>
    </xf>
    <xf numFmtId="168" fontId="120" fillId="33" borderId="0" xfId="60" applyNumberFormat="1" applyFont="1" applyFill="1" applyProtection="1">
      <alignment/>
      <protection hidden="1"/>
    </xf>
    <xf numFmtId="168" fontId="120" fillId="33" borderId="0" xfId="60" applyNumberFormat="1" applyFont="1" applyFill="1" applyBorder="1" applyProtection="1">
      <alignment/>
      <protection hidden="1"/>
    </xf>
    <xf numFmtId="0" fontId="120" fillId="33" borderId="0" xfId="59" applyFont="1" applyFill="1" applyBorder="1" applyProtection="1">
      <alignment/>
      <protection hidden="1"/>
    </xf>
    <xf numFmtId="0" fontId="120" fillId="33" borderId="0" xfId="60" applyFont="1" applyFill="1" applyProtection="1">
      <alignment/>
      <protection hidden="1"/>
    </xf>
    <xf numFmtId="0" fontId="19" fillId="33" borderId="0" xfId="59" applyFont="1" applyFill="1" applyBorder="1" applyAlignment="1" applyProtection="1">
      <alignment horizontal="center" vertical="center"/>
      <protection hidden="1"/>
    </xf>
    <xf numFmtId="0" fontId="104" fillId="33" borderId="0" xfId="60" applyFont="1" applyFill="1" applyBorder="1" applyProtection="1">
      <alignment/>
      <protection hidden="1"/>
    </xf>
    <xf numFmtId="0" fontId="104" fillId="38" borderId="72" xfId="59" applyFont="1" applyFill="1" applyBorder="1" applyAlignment="1" applyProtection="1">
      <alignment horizontal="left" vertical="center"/>
      <protection hidden="1"/>
    </xf>
    <xf numFmtId="0" fontId="104" fillId="38" borderId="73" xfId="59" applyFont="1" applyFill="1" applyBorder="1" applyAlignment="1" applyProtection="1">
      <alignment horizontal="left" vertical="center"/>
      <protection hidden="1"/>
    </xf>
    <xf numFmtId="0" fontId="118" fillId="33" borderId="0" xfId="60" applyFont="1" applyFill="1" applyBorder="1" applyProtection="1">
      <alignment/>
      <protection hidden="1"/>
    </xf>
    <xf numFmtId="0" fontId="105" fillId="38" borderId="0" xfId="59" applyFont="1" applyFill="1" applyBorder="1" applyAlignment="1" applyProtection="1">
      <alignment horizontal="left" vertical="center"/>
      <protection hidden="1"/>
    </xf>
    <xf numFmtId="0" fontId="104" fillId="38" borderId="0" xfId="59" applyFont="1" applyFill="1" applyBorder="1" applyAlignment="1" applyProtection="1">
      <alignment horizontal="left" vertical="center" indent="1"/>
      <protection hidden="1"/>
    </xf>
    <xf numFmtId="0" fontId="105" fillId="33" borderId="0" xfId="60" applyFont="1" applyFill="1" applyBorder="1" applyProtection="1">
      <alignment/>
      <protection hidden="1"/>
    </xf>
    <xf numFmtId="0" fontId="118" fillId="38" borderId="0" xfId="59" applyFont="1" applyFill="1" applyBorder="1" applyAlignment="1" applyProtection="1">
      <alignment horizontal="left" vertical="center"/>
      <protection hidden="1"/>
    </xf>
    <xf numFmtId="0" fontId="104" fillId="38" borderId="0" xfId="59" applyFont="1" applyFill="1" applyBorder="1" applyAlignment="1" applyProtection="1" quotePrefix="1">
      <alignment horizontal="left" vertical="center"/>
      <protection hidden="1"/>
    </xf>
    <xf numFmtId="0" fontId="121" fillId="33" borderId="0" xfId="60" applyFont="1" applyFill="1" applyProtection="1">
      <alignment/>
      <protection hidden="1"/>
    </xf>
    <xf numFmtId="0" fontId="121" fillId="33" borderId="0" xfId="60" applyFont="1" applyFill="1" applyBorder="1" applyProtection="1">
      <alignment/>
      <protection hidden="1"/>
    </xf>
    <xf numFmtId="0" fontId="122" fillId="33" borderId="0" xfId="60" applyFont="1" applyFill="1" applyBorder="1" applyProtection="1">
      <alignment/>
      <protection hidden="1"/>
    </xf>
    <xf numFmtId="167" fontId="104" fillId="39" borderId="77" xfId="59" applyNumberFormat="1" applyFont="1" applyFill="1" applyBorder="1" applyAlignment="1" applyProtection="1">
      <alignment horizontal="center" vertical="center"/>
      <protection hidden="1"/>
    </xf>
    <xf numFmtId="0" fontId="104" fillId="38" borderId="78" xfId="59" applyFont="1" applyFill="1" applyBorder="1" applyAlignment="1" applyProtection="1">
      <alignment horizontal="left" vertical="center"/>
      <protection hidden="1"/>
    </xf>
    <xf numFmtId="0" fontId="104" fillId="38" borderId="79" xfId="59" applyFont="1" applyFill="1" applyBorder="1" applyAlignment="1" applyProtection="1">
      <alignment horizontal="left" vertical="center"/>
      <protection hidden="1"/>
    </xf>
    <xf numFmtId="0" fontId="104" fillId="38" borderId="80" xfId="59" applyFont="1" applyFill="1" applyBorder="1" applyAlignment="1" applyProtection="1">
      <alignment horizontal="left" vertical="center"/>
      <protection hidden="1"/>
    </xf>
    <xf numFmtId="0" fontId="104" fillId="38" borderId="81" xfId="59" applyFont="1" applyFill="1" applyBorder="1" applyAlignment="1" applyProtection="1">
      <alignment horizontal="left" vertical="center"/>
      <protection hidden="1"/>
    </xf>
    <xf numFmtId="0" fontId="104" fillId="38" borderId="82" xfId="59" applyFont="1" applyFill="1" applyBorder="1" applyAlignment="1" applyProtection="1">
      <alignment horizontal="left" vertical="center"/>
      <protection hidden="1"/>
    </xf>
    <xf numFmtId="0" fontId="104" fillId="38" borderId="83" xfId="59" applyFont="1" applyFill="1" applyBorder="1" applyAlignment="1" applyProtection="1">
      <alignment horizontal="left" vertical="center"/>
      <protection hidden="1"/>
    </xf>
    <xf numFmtId="0" fontId="104" fillId="38" borderId="84" xfId="59" applyFont="1" applyFill="1" applyBorder="1" applyAlignment="1" applyProtection="1">
      <alignment horizontal="left" vertical="center"/>
      <protection hidden="1"/>
    </xf>
    <xf numFmtId="0" fontId="104" fillId="38" borderId="85" xfId="59" applyFont="1" applyFill="1" applyBorder="1" applyAlignment="1" applyProtection="1">
      <alignment horizontal="left" vertical="center"/>
      <protection hidden="1"/>
    </xf>
    <xf numFmtId="167" fontId="104" fillId="38" borderId="0" xfId="59" applyNumberFormat="1" applyFont="1" applyFill="1" applyBorder="1" applyAlignment="1" applyProtection="1">
      <alignment vertical="center"/>
      <protection hidden="1"/>
    </xf>
    <xf numFmtId="0" fontId="104" fillId="38" borderId="86" xfId="59" applyFont="1" applyFill="1" applyBorder="1" applyAlignment="1" applyProtection="1">
      <alignment horizontal="left" vertical="center"/>
      <protection hidden="1"/>
    </xf>
    <xf numFmtId="0" fontId="104" fillId="38" borderId="87" xfId="59" applyFont="1" applyFill="1" applyBorder="1" applyAlignment="1" applyProtection="1">
      <alignment horizontal="left" vertical="center"/>
      <protection hidden="1"/>
    </xf>
    <xf numFmtId="0" fontId="104" fillId="38" borderId="88" xfId="59" applyFont="1" applyFill="1" applyBorder="1" applyAlignment="1" applyProtection="1">
      <alignment horizontal="left" vertical="center"/>
      <protection hidden="1"/>
    </xf>
    <xf numFmtId="168" fontId="123" fillId="0" borderId="0" xfId="0" applyFont="1" applyBorder="1" applyAlignment="1" applyProtection="1">
      <alignment horizontal="justify" readingOrder="1"/>
      <protection hidden="1"/>
    </xf>
    <xf numFmtId="0" fontId="124" fillId="33" borderId="0" xfId="60" applyFont="1" applyFill="1" applyProtection="1">
      <alignment/>
      <protection hidden="1"/>
    </xf>
    <xf numFmtId="0" fontId="105" fillId="0" borderId="89" xfId="59" applyFont="1" applyBorder="1" applyAlignment="1" applyProtection="1">
      <alignment horizontal="left" vertical="center" indent="1"/>
      <protection hidden="1"/>
    </xf>
    <xf numFmtId="170" fontId="104" fillId="33" borderId="90" xfId="59" applyNumberFormat="1" applyFont="1" applyFill="1" applyBorder="1" applyAlignment="1" applyProtection="1">
      <alignment vertical="center"/>
      <protection hidden="1"/>
    </xf>
    <xf numFmtId="167" fontId="104" fillId="33" borderId="90" xfId="59" applyNumberFormat="1" applyFont="1" applyFill="1" applyBorder="1" applyAlignment="1" applyProtection="1">
      <alignment vertical="center"/>
      <protection hidden="1"/>
    </xf>
    <xf numFmtId="167" fontId="125" fillId="33" borderId="90" xfId="59" applyNumberFormat="1" applyFont="1" applyFill="1" applyBorder="1" applyAlignment="1" applyProtection="1">
      <alignment vertical="center"/>
      <protection hidden="1"/>
    </xf>
    <xf numFmtId="0" fontId="104" fillId="0" borderId="91" xfId="59" applyFont="1" applyBorder="1" applyAlignment="1" applyProtection="1">
      <alignment horizontal="left" vertical="center" indent="1"/>
      <protection hidden="1"/>
    </xf>
    <xf numFmtId="0" fontId="105" fillId="0" borderId="91" xfId="59" applyFont="1" applyBorder="1" applyAlignment="1" applyProtection="1">
      <alignment horizontal="left" vertical="center" indent="1"/>
      <protection hidden="1"/>
    </xf>
    <xf numFmtId="170" fontId="104" fillId="33" borderId="90" xfId="59" applyNumberFormat="1" applyFont="1" applyFill="1" applyBorder="1" applyAlignment="1" applyProtection="1">
      <alignment horizontal="center" vertical="center"/>
      <protection hidden="1"/>
    </xf>
    <xf numFmtId="0" fontId="105" fillId="0" borderId="91" xfId="59" applyFont="1" applyBorder="1" applyAlignment="1" applyProtection="1">
      <alignment horizontal="left" vertical="center"/>
      <protection hidden="1"/>
    </xf>
    <xf numFmtId="10" fontId="104" fillId="33" borderId="90" xfId="65" applyNumberFormat="1" applyFont="1" applyFill="1" applyBorder="1" applyAlignment="1" applyProtection="1">
      <alignment vertical="center"/>
      <protection hidden="1"/>
    </xf>
    <xf numFmtId="9" fontId="104" fillId="33" borderId="90" xfId="65" applyFont="1" applyFill="1" applyBorder="1" applyAlignment="1" applyProtection="1">
      <alignment vertical="center"/>
      <protection hidden="1"/>
    </xf>
    <xf numFmtId="0" fontId="105" fillId="0" borderId="91" xfId="59" applyFont="1" applyBorder="1" applyProtection="1">
      <alignment/>
      <protection hidden="1"/>
    </xf>
    <xf numFmtId="0" fontId="105" fillId="33" borderId="91" xfId="59" applyFont="1" applyFill="1" applyBorder="1" applyAlignment="1" applyProtection="1">
      <alignment horizontal="left" indent="1"/>
      <protection hidden="1"/>
    </xf>
    <xf numFmtId="0" fontId="104" fillId="33" borderId="91" xfId="59" applyFont="1" applyFill="1" applyBorder="1" applyAlignment="1" applyProtection="1">
      <alignment horizontal="left" vertical="center" indent="1"/>
      <protection hidden="1"/>
    </xf>
    <xf numFmtId="0" fontId="104" fillId="33" borderId="91" xfId="59" applyFont="1" applyFill="1" applyBorder="1" applyAlignment="1" applyProtection="1">
      <alignment vertical="center"/>
      <protection hidden="1"/>
    </xf>
    <xf numFmtId="0" fontId="25" fillId="33" borderId="91" xfId="59" applyFont="1" applyFill="1" applyBorder="1" applyAlignment="1" applyProtection="1">
      <alignment horizontal="left" indent="4"/>
      <protection hidden="1"/>
    </xf>
    <xf numFmtId="0" fontId="25" fillId="33" borderId="91" xfId="59" applyFont="1" applyFill="1" applyBorder="1" applyAlignment="1" applyProtection="1">
      <alignment horizontal="left" vertical="center" indent="4"/>
      <protection hidden="1"/>
    </xf>
    <xf numFmtId="0" fontId="105" fillId="33" borderId="92" xfId="59" applyFont="1" applyFill="1" applyBorder="1" applyAlignment="1" applyProtection="1">
      <alignment vertical="center"/>
      <protection hidden="1"/>
    </xf>
    <xf numFmtId="0" fontId="105" fillId="33" borderId="93" xfId="59" applyFont="1" applyFill="1" applyBorder="1" applyAlignment="1" applyProtection="1">
      <alignment horizontal="left" vertical="center" indent="1"/>
      <protection hidden="1"/>
    </xf>
    <xf numFmtId="170" fontId="104" fillId="33" borderId="90" xfId="59" applyNumberFormat="1" applyFont="1" applyFill="1" applyBorder="1" applyAlignment="1" applyProtection="1">
      <alignment horizontal="right" vertical="center"/>
      <protection hidden="1"/>
    </xf>
    <xf numFmtId="167" fontId="126" fillId="33" borderId="90" xfId="59" applyNumberFormat="1" applyFont="1" applyFill="1" applyBorder="1" applyAlignment="1" applyProtection="1">
      <alignment horizontal="center" vertical="center"/>
      <protection hidden="1"/>
    </xf>
    <xf numFmtId="0" fontId="127" fillId="33" borderId="91" xfId="59" applyFont="1" applyFill="1" applyBorder="1" applyAlignment="1" applyProtection="1">
      <alignment horizontal="left" vertical="center" indent="1"/>
      <protection hidden="1"/>
    </xf>
    <xf numFmtId="0" fontId="105" fillId="33" borderId="94" xfId="59" applyFont="1" applyFill="1" applyBorder="1" applyAlignment="1" applyProtection="1">
      <alignment horizontal="left" vertical="center" indent="1"/>
      <protection hidden="1"/>
    </xf>
    <xf numFmtId="170" fontId="104" fillId="33" borderId="0" xfId="59" applyNumberFormat="1" applyFont="1" applyFill="1" applyBorder="1" applyAlignment="1" applyProtection="1">
      <alignment vertical="center"/>
      <protection hidden="1"/>
    </xf>
    <xf numFmtId="167" fontId="104" fillId="33" borderId="0" xfId="59" applyNumberFormat="1" applyFont="1" applyFill="1" applyBorder="1" applyAlignment="1" applyProtection="1">
      <alignment vertical="center"/>
      <protection hidden="1"/>
    </xf>
    <xf numFmtId="167" fontId="125" fillId="33" borderId="0" xfId="59" applyNumberFormat="1" applyFont="1" applyFill="1" applyBorder="1" applyAlignment="1" applyProtection="1">
      <alignment vertical="center"/>
      <protection hidden="1"/>
    </xf>
    <xf numFmtId="0" fontId="104" fillId="33" borderId="0" xfId="0" applyNumberFormat="1" applyFont="1" applyFill="1" applyBorder="1" applyAlignment="1" applyProtection="1">
      <alignment/>
      <protection hidden="1"/>
    </xf>
    <xf numFmtId="0" fontId="0" fillId="33" borderId="0" xfId="0" applyNumberFormat="1" applyFill="1" applyAlignment="1" applyProtection="1">
      <alignment/>
      <protection hidden="1"/>
    </xf>
    <xf numFmtId="0" fontId="108" fillId="33" borderId="0" xfId="0" applyNumberFormat="1" applyFont="1" applyFill="1" applyBorder="1" applyAlignment="1" applyProtection="1">
      <alignment/>
      <protection hidden="1"/>
    </xf>
    <xf numFmtId="0" fontId="0" fillId="33" borderId="0" xfId="0" applyNumberFormat="1" applyFill="1" applyBorder="1" applyAlignment="1" applyProtection="1">
      <alignment/>
      <protection hidden="1"/>
    </xf>
    <xf numFmtId="0" fontId="0" fillId="33" borderId="0" xfId="0" applyNumberFormat="1" applyFont="1" applyFill="1" applyBorder="1" applyAlignment="1" applyProtection="1">
      <alignment/>
      <protection hidden="1"/>
    </xf>
    <xf numFmtId="0" fontId="0" fillId="33" borderId="0" xfId="0" applyNumberFormat="1" applyFont="1" applyFill="1" applyAlignment="1" applyProtection="1">
      <alignment/>
      <protection hidden="1"/>
    </xf>
    <xf numFmtId="168" fontId="0" fillId="33" borderId="0" xfId="0" applyFont="1" applyFill="1" applyAlignment="1" applyProtection="1">
      <alignment/>
      <protection hidden="1"/>
    </xf>
    <xf numFmtId="170" fontId="104" fillId="33" borderId="95" xfId="59" applyNumberFormat="1" applyFont="1" applyFill="1" applyBorder="1" applyAlignment="1" applyProtection="1">
      <alignment vertical="center"/>
      <protection hidden="1"/>
    </xf>
    <xf numFmtId="170" fontId="104" fillId="33" borderId="96" xfId="59" applyNumberFormat="1" applyFont="1" applyFill="1" applyBorder="1" applyAlignment="1" applyProtection="1">
      <alignment vertical="center"/>
      <protection hidden="1"/>
    </xf>
    <xf numFmtId="167" fontId="104" fillId="33" borderId="96" xfId="59" applyNumberFormat="1" applyFont="1" applyFill="1" applyBorder="1" applyAlignment="1" applyProtection="1">
      <alignment vertical="center"/>
      <protection hidden="1"/>
    </xf>
    <xf numFmtId="167" fontId="125" fillId="33" borderId="96" xfId="59" applyNumberFormat="1" applyFont="1" applyFill="1" applyBorder="1" applyAlignment="1" applyProtection="1">
      <alignment vertical="center"/>
      <protection hidden="1"/>
    </xf>
    <xf numFmtId="170" fontId="104" fillId="33" borderId="0" xfId="59" applyNumberFormat="1" applyFont="1" applyFill="1" applyBorder="1" applyAlignment="1" applyProtection="1">
      <alignment horizontal="right" vertical="center"/>
      <protection hidden="1"/>
    </xf>
    <xf numFmtId="167" fontId="126" fillId="33" borderId="0" xfId="59" applyNumberFormat="1" applyFont="1" applyFill="1" applyBorder="1" applyAlignment="1" applyProtection="1">
      <alignment horizontal="center" vertical="center"/>
      <protection hidden="1"/>
    </xf>
    <xf numFmtId="167" fontId="104" fillId="33" borderId="96" xfId="59" applyNumberFormat="1" applyFont="1" applyFill="1" applyBorder="1" applyProtection="1">
      <alignment/>
      <protection hidden="1"/>
    </xf>
    <xf numFmtId="0" fontId="104" fillId="39" borderId="97" xfId="59" applyFont="1" applyFill="1" applyBorder="1" applyAlignment="1" applyProtection="1">
      <alignment vertical="center"/>
      <protection hidden="1" locked="0"/>
    </xf>
    <xf numFmtId="0" fontId="104" fillId="33" borderId="0" xfId="60" applyFont="1" applyFill="1" applyProtection="1">
      <alignment/>
      <protection hidden="1" locked="0"/>
    </xf>
    <xf numFmtId="0" fontId="12" fillId="33" borderId="0" xfId="61" applyFont="1" applyFill="1" applyProtection="1">
      <alignment/>
      <protection hidden="1"/>
    </xf>
    <xf numFmtId="0" fontId="12" fillId="33" borderId="0" xfId="61" applyFont="1" applyFill="1" applyAlignment="1" applyProtection="1">
      <alignment vertical="center" wrapText="1"/>
      <protection hidden="1"/>
    </xf>
    <xf numFmtId="0" fontId="12" fillId="33" borderId="0" xfId="61" applyFont="1" applyFill="1" applyBorder="1" applyProtection="1">
      <alignment/>
      <protection hidden="1"/>
    </xf>
    <xf numFmtId="0" fontId="12" fillId="33" borderId="0" xfId="61" applyFont="1" applyFill="1" applyAlignment="1" applyProtection="1">
      <alignment horizontal="justify"/>
      <protection hidden="1" locked="0"/>
    </xf>
    <xf numFmtId="0" fontId="105" fillId="33" borderId="71" xfId="59" applyFont="1" applyFill="1" applyBorder="1" applyAlignment="1">
      <alignment horizontal="center"/>
      <protection/>
    </xf>
    <xf numFmtId="0" fontId="104" fillId="33" borderId="0" xfId="59" applyFont="1" applyFill="1" applyBorder="1" applyAlignment="1" applyProtection="1" quotePrefix="1">
      <alignment horizontal="right"/>
      <protection hidden="1"/>
    </xf>
    <xf numFmtId="0" fontId="12" fillId="33" borderId="0" xfId="61" applyFont="1" applyFill="1" applyAlignment="1" applyProtection="1">
      <alignment horizontal="justify"/>
      <protection/>
    </xf>
    <xf numFmtId="0" fontId="12" fillId="33" borderId="0" xfId="61" applyFont="1" applyFill="1" applyBorder="1" applyAlignment="1" applyProtection="1">
      <alignment horizontal="justify" vertical="center" wrapText="1"/>
      <protection/>
    </xf>
    <xf numFmtId="0" fontId="12" fillId="33" borderId="0" xfId="61" applyFont="1" applyFill="1" applyBorder="1" applyAlignment="1" applyProtection="1">
      <alignment horizontal="justify" vertical="justify"/>
      <protection/>
    </xf>
    <xf numFmtId="0" fontId="21" fillId="33" borderId="0" xfId="61" applyFont="1" applyFill="1" applyBorder="1" applyAlignment="1" applyProtection="1">
      <alignment horizontal="justify" vertical="justify"/>
      <protection/>
    </xf>
    <xf numFmtId="0" fontId="12" fillId="33" borderId="0" xfId="61" applyFont="1" applyFill="1" applyBorder="1" applyAlignment="1" applyProtection="1">
      <alignment horizontal="justify" vertical="center"/>
      <protection/>
    </xf>
    <xf numFmtId="0" fontId="12" fillId="33" borderId="98" xfId="61" applyFont="1" applyFill="1" applyBorder="1" applyAlignment="1" applyProtection="1">
      <alignment horizontal="right" vertical="center" wrapText="1"/>
      <protection/>
    </xf>
    <xf numFmtId="0" fontId="12" fillId="33" borderId="99" xfId="61" applyFont="1" applyFill="1" applyBorder="1" applyAlignment="1" applyProtection="1">
      <alignment horizontal="right" vertical="center" wrapText="1"/>
      <protection/>
    </xf>
    <xf numFmtId="0" fontId="12" fillId="33" borderId="0" xfId="61" applyFont="1" applyFill="1" applyBorder="1" applyAlignment="1" applyProtection="1">
      <alignment horizontal="left" vertical="center" wrapText="1"/>
      <protection/>
    </xf>
    <xf numFmtId="0" fontId="12" fillId="33" borderId="100" xfId="61" applyFont="1" applyFill="1" applyBorder="1" applyAlignment="1" applyProtection="1">
      <alignment vertical="center"/>
      <protection/>
    </xf>
    <xf numFmtId="0" fontId="20" fillId="33" borderId="100" xfId="61" applyFont="1" applyFill="1" applyBorder="1" applyAlignment="1" applyProtection="1">
      <alignment vertical="center"/>
      <protection/>
    </xf>
    <xf numFmtId="0" fontId="20" fillId="33" borderId="0" xfId="61" applyFont="1" applyFill="1" applyBorder="1" applyAlignment="1" applyProtection="1">
      <alignment horizontal="justify" vertical="center"/>
      <protection/>
    </xf>
    <xf numFmtId="0" fontId="12" fillId="33" borderId="0" xfId="61" applyFont="1" applyFill="1" applyProtection="1">
      <alignment/>
      <protection/>
    </xf>
    <xf numFmtId="0" fontId="12" fillId="33" borderId="0" xfId="61" applyFont="1" applyFill="1" applyBorder="1" applyAlignment="1" applyProtection="1">
      <alignment horizontal="justify"/>
      <protection/>
    </xf>
    <xf numFmtId="0" fontId="12" fillId="38" borderId="0" xfId="59" applyFont="1" applyFill="1" applyBorder="1" applyAlignment="1">
      <alignment horizontal="left" vertical="center" wrapText="1"/>
      <protection/>
    </xf>
    <xf numFmtId="0" fontId="20" fillId="38" borderId="0" xfId="59" applyFont="1" applyFill="1" applyBorder="1" applyAlignment="1">
      <alignment horizontal="left" vertical="center" wrapText="1"/>
      <protection/>
    </xf>
    <xf numFmtId="0" fontId="23" fillId="38" borderId="0" xfId="59" applyFont="1" applyFill="1" applyBorder="1" applyAlignment="1">
      <alignment horizontal="left" vertical="center" wrapText="1"/>
      <protection/>
    </xf>
    <xf numFmtId="0" fontId="12" fillId="38" borderId="0" xfId="59" applyFont="1" applyFill="1" applyBorder="1" applyAlignment="1">
      <alignment horizontal="left" vertical="top" wrapText="1"/>
      <protection/>
    </xf>
    <xf numFmtId="0" fontId="104" fillId="0" borderId="91" xfId="59" applyFont="1" applyBorder="1" applyAlignment="1" applyProtection="1" quotePrefix="1">
      <alignment horizontal="left" vertical="center" indent="1"/>
      <protection hidden="1"/>
    </xf>
    <xf numFmtId="0" fontId="19" fillId="33" borderId="0" xfId="59" applyFont="1" applyFill="1" applyAlignment="1">
      <alignment vertical="center" wrapText="1"/>
      <protection/>
    </xf>
    <xf numFmtId="0" fontId="128" fillId="38" borderId="84" xfId="59" applyFont="1" applyFill="1" applyBorder="1" applyAlignment="1" applyProtection="1">
      <alignment horizontal="center" vertical="center"/>
      <protection hidden="1"/>
    </xf>
    <xf numFmtId="168" fontId="0" fillId="33" borderId="0" xfId="0" applyFill="1" applyAlignment="1">
      <alignment/>
    </xf>
    <xf numFmtId="0" fontId="105" fillId="33" borderId="67" xfId="59" applyFont="1" applyFill="1" applyBorder="1" applyAlignment="1">
      <alignment horizontal="center"/>
      <protection/>
    </xf>
    <xf numFmtId="0" fontId="0" fillId="33" borderId="0" xfId="0" applyNumberFormat="1" applyFill="1" applyAlignment="1" applyProtection="1">
      <alignment vertical="top"/>
      <protection hidden="1"/>
    </xf>
    <xf numFmtId="167" fontId="104" fillId="39" borderId="77" xfId="59" applyNumberFormat="1" applyFont="1" applyFill="1" applyBorder="1" applyAlignment="1" applyProtection="1">
      <alignment horizontal="center" vertical="center"/>
      <protection hidden="1" locked="0"/>
    </xf>
    <xf numFmtId="167" fontId="104" fillId="39" borderId="101" xfId="59" applyNumberFormat="1" applyFont="1" applyFill="1" applyBorder="1" applyAlignment="1" applyProtection="1">
      <alignment horizontal="center" vertical="center"/>
      <protection hidden="1" locked="0"/>
    </xf>
    <xf numFmtId="167" fontId="104" fillId="39" borderId="102" xfId="59" applyNumberFormat="1" applyFont="1" applyFill="1" applyBorder="1" applyAlignment="1" applyProtection="1">
      <alignment horizontal="center" vertical="center"/>
      <protection hidden="1" locked="0"/>
    </xf>
    <xf numFmtId="0" fontId="129" fillId="40" borderId="103" xfId="59" applyFont="1" applyFill="1" applyBorder="1" applyAlignment="1" applyProtection="1">
      <alignment horizontal="center" vertical="center" textRotation="90" wrapText="1"/>
      <protection hidden="1"/>
    </xf>
    <xf numFmtId="0" fontId="129" fillId="40" borderId="104" xfId="59" applyFont="1" applyFill="1" applyBorder="1" applyAlignment="1" applyProtection="1">
      <alignment horizontal="center" vertical="center" textRotation="90" wrapText="1"/>
      <protection hidden="1"/>
    </xf>
    <xf numFmtId="0" fontId="129" fillId="40" borderId="105" xfId="59" applyFont="1" applyFill="1" applyBorder="1" applyAlignment="1" applyProtection="1">
      <alignment horizontal="center" vertical="center" textRotation="90" wrapText="1"/>
      <protection hidden="1"/>
    </xf>
    <xf numFmtId="0" fontId="129" fillId="40" borderId="103" xfId="59" applyFont="1" applyFill="1" applyBorder="1" applyAlignment="1" applyProtection="1">
      <alignment horizontal="center" vertical="center" textRotation="90"/>
      <protection hidden="1"/>
    </xf>
    <xf numFmtId="0" fontId="129" fillId="40" borderId="104" xfId="59" applyFont="1" applyFill="1" applyBorder="1" applyAlignment="1" applyProtection="1">
      <alignment horizontal="center" vertical="center" textRotation="90"/>
      <protection hidden="1"/>
    </xf>
    <xf numFmtId="0" fontId="129" fillId="40" borderId="105" xfId="59" applyFont="1" applyFill="1" applyBorder="1" applyAlignment="1" applyProtection="1">
      <alignment horizontal="center" vertical="center" textRotation="90"/>
      <protection hidden="1"/>
    </xf>
    <xf numFmtId="0" fontId="130" fillId="33" borderId="0" xfId="60" applyFont="1" applyFill="1" applyBorder="1" applyAlignment="1" applyProtection="1">
      <alignment horizontal="center" vertical="center" wrapText="1"/>
      <protection hidden="1"/>
    </xf>
    <xf numFmtId="0" fontId="107" fillId="41" borderId="0" xfId="59" applyFont="1" applyFill="1" applyBorder="1" applyAlignment="1" applyProtection="1">
      <alignment horizontal="center" vertical="center"/>
      <protection hidden="1"/>
    </xf>
    <xf numFmtId="168" fontId="0" fillId="0" borderId="104" xfId="0" applyBorder="1" applyAlignment="1" applyProtection="1">
      <alignment/>
      <protection hidden="1"/>
    </xf>
    <xf numFmtId="168" fontId="0" fillId="0" borderId="105" xfId="0" applyBorder="1" applyAlignment="1" applyProtection="1">
      <alignment/>
      <protection hidden="1"/>
    </xf>
    <xf numFmtId="0" fontId="107" fillId="42" borderId="0" xfId="59" applyFont="1" applyFill="1" applyBorder="1" applyAlignment="1" applyProtection="1">
      <alignment horizontal="center" vertical="center"/>
      <protection hidden="1"/>
    </xf>
    <xf numFmtId="0" fontId="105" fillId="33" borderId="0" xfId="60" applyFont="1" applyFill="1" applyBorder="1" applyAlignment="1" applyProtection="1">
      <alignment horizontal="center"/>
      <protection hidden="1"/>
    </xf>
    <xf numFmtId="0" fontId="105" fillId="33" borderId="85" xfId="60" applyFont="1" applyFill="1" applyBorder="1" applyAlignment="1" applyProtection="1">
      <alignment horizontal="center"/>
      <protection hidden="1"/>
    </xf>
    <xf numFmtId="167" fontId="104" fillId="38" borderId="0" xfId="59" applyNumberFormat="1" applyFont="1" applyFill="1" applyBorder="1" applyAlignment="1" applyProtection="1">
      <alignment horizontal="left" vertical="center"/>
      <protection hidden="1"/>
    </xf>
    <xf numFmtId="0" fontId="105" fillId="33" borderId="106" xfId="59" applyFont="1" applyFill="1" applyBorder="1" applyAlignment="1">
      <alignment horizontal="center" vertical="center"/>
      <protection/>
    </xf>
    <xf numFmtId="0" fontId="105" fillId="33" borderId="107" xfId="59" applyFont="1" applyFill="1" applyBorder="1" applyAlignment="1">
      <alignment horizontal="center" vertical="center"/>
      <protection/>
    </xf>
    <xf numFmtId="167" fontId="105" fillId="33" borderId="90" xfId="59" applyNumberFormat="1" applyFont="1" applyFill="1" applyBorder="1" applyAlignment="1">
      <alignment horizontal="center"/>
      <protection/>
    </xf>
    <xf numFmtId="167" fontId="105" fillId="33" borderId="0" xfId="59" applyNumberFormat="1" applyFont="1" applyFill="1" applyBorder="1" applyAlignment="1">
      <alignment horizontal="center"/>
      <protection/>
    </xf>
    <xf numFmtId="0" fontId="113" fillId="33" borderId="0" xfId="0" applyNumberFormat="1" applyFont="1" applyFill="1" applyAlignment="1" applyProtection="1">
      <alignment horizontal="left" wrapText="1"/>
      <protection hidden="1"/>
    </xf>
    <xf numFmtId="0" fontId="19" fillId="33" borderId="0" xfId="59" applyFont="1" applyFill="1" applyAlignment="1">
      <alignment vertical="center" wrapText="1"/>
      <protection/>
    </xf>
    <xf numFmtId="0" fontId="113" fillId="33" borderId="108" xfId="59" applyFont="1" applyFill="1" applyBorder="1" applyAlignment="1" applyProtection="1">
      <alignment horizontal="left" wrapText="1"/>
      <protection hidden="1"/>
    </xf>
    <xf numFmtId="0" fontId="119" fillId="33" borderId="108" xfId="59" applyFont="1" applyFill="1" applyBorder="1" applyAlignment="1" applyProtection="1">
      <alignment horizontal="left"/>
      <protection hidden="1"/>
    </xf>
    <xf numFmtId="0" fontId="12" fillId="33" borderId="99" xfId="61" applyFont="1" applyFill="1" applyBorder="1" applyAlignment="1" applyProtection="1">
      <alignment horizontal="left" vertical="center" wrapText="1"/>
      <protection/>
    </xf>
    <xf numFmtId="0" fontId="12" fillId="33" borderId="109" xfId="61" applyFont="1" applyFill="1" applyBorder="1" applyAlignment="1" applyProtection="1">
      <alignment horizontal="left" vertical="center" wrapText="1"/>
      <protection/>
    </xf>
    <xf numFmtId="0" fontId="12" fillId="33" borderId="100" xfId="61" applyFont="1" applyFill="1" applyBorder="1" applyAlignment="1" applyProtection="1">
      <alignment horizontal="left" vertical="center" wrapText="1"/>
      <protection/>
    </xf>
    <xf numFmtId="0" fontId="12" fillId="33" borderId="0" xfId="61" applyFont="1" applyFill="1" applyBorder="1" applyAlignment="1" applyProtection="1">
      <alignment horizontal="justify" vertical="justify"/>
      <protection/>
    </xf>
    <xf numFmtId="0" fontId="20" fillId="33" borderId="0" xfId="61" applyFont="1" applyFill="1" applyBorder="1" applyAlignment="1" applyProtection="1">
      <alignment horizontal="justify" vertical="center"/>
      <protection/>
    </xf>
    <xf numFmtId="0" fontId="12" fillId="33" borderId="98" xfId="61" applyFont="1" applyFill="1" applyBorder="1" applyAlignment="1" applyProtection="1">
      <alignment horizontal="left" vertical="center" wrapText="1"/>
      <protection/>
    </xf>
    <xf numFmtId="0" fontId="12" fillId="33" borderId="110" xfId="61" applyFont="1" applyFill="1" applyBorder="1" applyAlignment="1" applyProtection="1">
      <alignment horizontal="left" vertical="center" wrapText="1"/>
      <protection/>
    </xf>
    <xf numFmtId="0" fontId="12" fillId="33" borderId="0" xfId="61" applyFont="1" applyFill="1" applyBorder="1" applyAlignment="1" applyProtection="1">
      <alignment horizontal="left" vertical="center" wrapText="1"/>
      <protection/>
    </xf>
    <xf numFmtId="0" fontId="12" fillId="33" borderId="0" xfId="61" applyFont="1" applyFill="1" applyBorder="1" applyAlignment="1" applyProtection="1">
      <alignment horizontal="justify" vertical="center"/>
      <protection/>
    </xf>
    <xf numFmtId="0" fontId="12" fillId="33" borderId="0" xfId="61" applyFont="1" applyFill="1" applyBorder="1" applyAlignment="1" applyProtection="1">
      <alignment horizontal="justify" vertical="center" wrapText="1"/>
      <protection/>
    </xf>
    <xf numFmtId="0" fontId="12" fillId="0" borderId="0" xfId="61" applyFont="1" applyBorder="1" applyAlignment="1" applyProtection="1">
      <alignment horizontal="justify" vertical="justify"/>
      <protection/>
    </xf>
    <xf numFmtId="0" fontId="12" fillId="33" borderId="0" xfId="61" applyFont="1" applyFill="1" applyBorder="1" applyAlignment="1" applyProtection="1">
      <alignment horizontal="justify" vertical="top" wrapText="1"/>
      <protection/>
    </xf>
    <xf numFmtId="0" fontId="112" fillId="33" borderId="0" xfId="61" applyFont="1" applyFill="1" applyAlignment="1">
      <alignment horizontal="center"/>
      <protection/>
    </xf>
    <xf numFmtId="168" fontId="6" fillId="35" borderId="0" xfId="0" applyFont="1" applyFill="1" applyAlignment="1" applyProtection="1">
      <alignment horizontal="center"/>
      <protection locked="0"/>
    </xf>
    <xf numFmtId="168" fontId="6" fillId="35" borderId="0" xfId="0" applyFont="1" applyFill="1" applyAlignment="1" applyProtection="1">
      <alignment horizontal="center"/>
      <protection locked="0"/>
    </xf>
    <xf numFmtId="168" fontId="6" fillId="0" borderId="0" xfId="0" applyFont="1" applyAlignment="1" applyProtection="1">
      <alignment horizontal="center"/>
      <protection locked="0"/>
    </xf>
    <xf numFmtId="168" fontId="7" fillId="2" borderId="14" xfId="0" applyFont="1" applyFill="1" applyBorder="1" applyAlignment="1" applyProtection="1">
      <alignment horizontal="center"/>
      <protection locked="0"/>
    </xf>
    <xf numFmtId="168" fontId="7" fillId="2" borderId="34" xfId="0" applyFont="1" applyFill="1" applyBorder="1" applyAlignment="1" applyProtection="1">
      <alignment horizontal="center"/>
      <protection locked="0"/>
    </xf>
    <xf numFmtId="168" fontId="7" fillId="2" borderId="33" xfId="0" applyFont="1" applyFill="1" applyBorder="1" applyAlignment="1" applyProtection="1">
      <alignment horizontal="center"/>
      <protection locked="0"/>
    </xf>
    <xf numFmtId="168" fontId="6" fillId="43" borderId="14" xfId="0" applyFont="1" applyFill="1" applyBorder="1" applyAlignment="1" applyProtection="1">
      <alignment horizontal="center"/>
      <protection locked="0"/>
    </xf>
    <xf numFmtId="168" fontId="6" fillId="43" borderId="33" xfId="0" applyFont="1" applyFill="1" applyBorder="1" applyAlignment="1" applyProtection="1">
      <alignment horizontal="center"/>
      <protection locked="0"/>
    </xf>
    <xf numFmtId="168" fontId="6" fillId="43" borderId="34" xfId="0" applyFont="1" applyFill="1" applyBorder="1" applyAlignment="1" applyProtection="1">
      <alignment horizontal="center"/>
      <protection locked="0"/>
    </xf>
    <xf numFmtId="168" fontId="100" fillId="0" borderId="0" xfId="0" applyFont="1" applyAlignment="1" applyProtection="1">
      <alignment horizontal="center"/>
      <protection locked="0"/>
    </xf>
    <xf numFmtId="171" fontId="7" fillId="0" borderId="49" xfId="0" applyNumberFormat="1" applyFont="1" applyBorder="1" applyAlignment="1" applyProtection="1">
      <alignment horizontal="center"/>
      <protection locked="0"/>
    </xf>
    <xf numFmtId="171" fontId="7" fillId="0" borderId="39" xfId="0" applyNumberFormat="1" applyFont="1" applyBorder="1" applyAlignment="1" applyProtection="1">
      <alignment horizontal="center"/>
      <protection locked="0"/>
    </xf>
    <xf numFmtId="171" fontId="7" fillId="0" borderId="49" xfId="0" applyNumberFormat="1" applyFont="1" applyBorder="1" applyAlignment="1" applyProtection="1">
      <alignment horizontal="center"/>
      <protection locked="0"/>
    </xf>
    <xf numFmtId="171" fontId="7" fillId="0" borderId="39" xfId="0" applyNumberFormat="1" applyFont="1" applyBorder="1" applyAlignment="1" applyProtection="1">
      <alignment horizontal="center"/>
      <protection locked="0"/>
    </xf>
    <xf numFmtId="168" fontId="9" fillId="44" borderId="0" xfId="0" applyFont="1" applyFill="1" applyBorder="1" applyAlignment="1" applyProtection="1">
      <alignment horizontal="center" vertical="center" wrapText="1"/>
      <protection locked="0"/>
    </xf>
    <xf numFmtId="168" fontId="15" fillId="2" borderId="111" xfId="0" applyFont="1" applyFill="1" applyBorder="1" applyAlignment="1" applyProtection="1">
      <alignment horizontal="left" wrapText="1"/>
      <protection locked="0"/>
    </xf>
    <xf numFmtId="168" fontId="6" fillId="2" borderId="44" xfId="0" applyFont="1" applyFill="1" applyBorder="1" applyAlignment="1" applyProtection="1">
      <alignment horizontal="center"/>
      <protection locked="0"/>
    </xf>
    <xf numFmtId="168" fontId="6" fillId="2" borderId="25" xfId="0" applyFont="1" applyFill="1" applyBorder="1" applyAlignment="1" applyProtection="1">
      <alignment horizontal="center"/>
      <protection locked="0"/>
    </xf>
    <xf numFmtId="0" fontId="7" fillId="2" borderId="23" xfId="0" applyNumberFormat="1" applyFont="1" applyFill="1" applyBorder="1" applyAlignment="1" applyProtection="1">
      <alignment horizontal="center"/>
      <protection locked="0"/>
    </xf>
    <xf numFmtId="168" fontId="7" fillId="2" borderId="14" xfId="0" applyFont="1" applyFill="1" applyBorder="1" applyAlignment="1" applyProtection="1">
      <alignment horizontal="center"/>
      <protection locked="0"/>
    </xf>
    <xf numFmtId="168" fontId="7" fillId="2" borderId="33" xfId="0" applyFont="1" applyFill="1" applyBorder="1" applyAlignment="1" applyProtection="1">
      <alignment horizontal="center"/>
      <protection locked="0"/>
    </xf>
    <xf numFmtId="0" fontId="7" fillId="2" borderId="112" xfId="0" applyNumberFormat="1" applyFont="1" applyFill="1" applyBorder="1" applyAlignment="1" applyProtection="1">
      <alignment horizontal="center" vertical="center"/>
      <protection locked="0"/>
    </xf>
    <xf numFmtId="0" fontId="7" fillId="2" borderId="112" xfId="0" applyNumberFormat="1" applyFont="1" applyFill="1" applyBorder="1" applyAlignment="1" applyProtection="1">
      <alignment horizontal="center"/>
      <protection locked="0"/>
    </xf>
    <xf numFmtId="7" fontId="7" fillId="2" borderId="44" xfId="46" applyNumberFormat="1" applyFont="1" applyFill="1" applyBorder="1" applyAlignment="1" applyProtection="1">
      <alignment horizontal="center" vertical="center"/>
      <protection locked="0"/>
    </xf>
    <xf numFmtId="7" fontId="7" fillId="2" borderId="113" xfId="46" applyNumberFormat="1" applyFont="1" applyFill="1" applyBorder="1" applyAlignment="1" applyProtection="1">
      <alignment horizontal="center" vertical="center"/>
      <protection locked="0"/>
    </xf>
    <xf numFmtId="168" fontId="7" fillId="2" borderId="63" xfId="0" applyFont="1" applyFill="1" applyBorder="1" applyAlignment="1" applyProtection="1">
      <alignment horizontal="center"/>
      <protection locked="0"/>
    </xf>
    <xf numFmtId="168" fontId="7" fillId="2" borderId="64" xfId="0" applyFont="1" applyFill="1" applyBorder="1" applyAlignment="1" applyProtection="1">
      <alignment horizontal="center"/>
      <protection locked="0"/>
    </xf>
    <xf numFmtId="168" fontId="7" fillId="2" borderId="49" xfId="0" applyFont="1" applyFill="1" applyBorder="1" applyAlignment="1" applyProtection="1">
      <alignment horizontal="center"/>
      <protection locked="0"/>
    </xf>
    <xf numFmtId="168" fontId="7" fillId="2" borderId="39" xfId="0" applyFont="1" applyFill="1" applyBorder="1" applyAlignment="1" applyProtection="1">
      <alignment horizontal="center"/>
      <protection locked="0"/>
    </xf>
    <xf numFmtId="168" fontId="100" fillId="2" borderId="49" xfId="0" applyFont="1" applyFill="1" applyBorder="1" applyAlignment="1" applyProtection="1">
      <alignment horizontal="left"/>
      <protection locked="0"/>
    </xf>
    <xf numFmtId="168" fontId="100" fillId="2" borderId="39" xfId="0" applyFont="1" applyFill="1" applyBorder="1" applyAlignment="1" applyProtection="1">
      <alignment horizontal="left"/>
      <protection locked="0"/>
    </xf>
    <xf numFmtId="168" fontId="100" fillId="0" borderId="0" xfId="0" applyFont="1" applyAlignment="1" applyProtection="1">
      <alignment horizontal="left"/>
      <protection locked="0"/>
    </xf>
    <xf numFmtId="168" fontId="10" fillId="0" borderId="114" xfId="0" applyFont="1" applyBorder="1" applyAlignment="1" applyProtection="1">
      <alignment horizontal="center" vertical="center" textRotation="90" wrapText="1"/>
      <protection locked="0"/>
    </xf>
    <xf numFmtId="168" fontId="10" fillId="0" borderId="115" xfId="0" applyFont="1" applyBorder="1" applyAlignment="1" applyProtection="1">
      <alignment horizontal="center" vertical="center" textRotation="90" wrapText="1"/>
      <protection locked="0"/>
    </xf>
    <xf numFmtId="168" fontId="6" fillId="0" borderId="14" xfId="0" applyFont="1" applyBorder="1" applyAlignment="1" applyProtection="1">
      <alignment horizontal="center"/>
      <protection locked="0"/>
    </xf>
    <xf numFmtId="168" fontId="6" fillId="0" borderId="34" xfId="0" applyFont="1" applyBorder="1" applyAlignment="1" applyProtection="1">
      <alignment horizontal="center"/>
      <protection locked="0"/>
    </xf>
    <xf numFmtId="0" fontId="103" fillId="0" borderId="112" xfId="0" applyNumberFormat="1" applyFont="1" applyFill="1" applyBorder="1" applyAlignment="1" applyProtection="1">
      <alignment horizontal="center"/>
      <protection locked="0"/>
    </xf>
    <xf numFmtId="168" fontId="7" fillId="0" borderId="114" xfId="0" applyFont="1" applyBorder="1" applyAlignment="1" applyProtection="1">
      <alignment horizontal="center" vertical="center" textRotation="90" wrapText="1"/>
      <protection locked="0"/>
    </xf>
    <xf numFmtId="168" fontId="7" fillId="0" borderId="111" xfId="0" applyFont="1" applyBorder="1" applyAlignment="1" applyProtection="1">
      <alignment horizontal="center" vertical="center" textRotation="90" wrapText="1"/>
      <protection locked="0"/>
    </xf>
    <xf numFmtId="168" fontId="7" fillId="0" borderId="115" xfId="0" applyFont="1" applyBorder="1" applyAlignment="1" applyProtection="1">
      <alignment horizontal="center" vertical="center" textRotation="90" wrapText="1"/>
      <protection locked="0"/>
    </xf>
    <xf numFmtId="164" fontId="7" fillId="2" borderId="23" xfId="56" applyNumberFormat="1" applyFont="1" applyFill="1" applyBorder="1" applyAlignment="1" applyProtection="1">
      <alignment horizontal="left"/>
      <protection locked="0"/>
    </xf>
    <xf numFmtId="168" fontId="7" fillId="0" borderId="114" xfId="0" applyFont="1" applyBorder="1" applyAlignment="1" applyProtection="1">
      <alignment horizontal="center" vertical="center" textRotation="90"/>
      <protection locked="0"/>
    </xf>
    <xf numFmtId="168" fontId="7" fillId="0" borderId="111" xfId="0" applyFont="1" applyBorder="1" applyAlignment="1" applyProtection="1">
      <alignment horizontal="center" vertical="center" textRotation="90"/>
      <protection locked="0"/>
    </xf>
    <xf numFmtId="168" fontId="7" fillId="0" borderId="115" xfId="0" applyFont="1" applyBorder="1" applyAlignment="1" applyProtection="1">
      <alignment horizontal="center" vertical="center" textRotation="90"/>
      <protection locked="0"/>
    </xf>
    <xf numFmtId="166" fontId="9" fillId="0" borderId="14" xfId="56" applyNumberFormat="1" applyFont="1" applyFill="1" applyBorder="1" applyAlignment="1" applyProtection="1">
      <alignment horizontal="center" vertical="center" wrapText="1"/>
      <protection locked="0"/>
    </xf>
    <xf numFmtId="166" fontId="9" fillId="0" borderId="116" xfId="56" applyNumberFormat="1" applyFont="1" applyFill="1" applyBorder="1" applyAlignment="1" applyProtection="1">
      <alignment horizontal="center" vertical="center" wrapText="1"/>
      <protection locked="0"/>
    </xf>
    <xf numFmtId="168" fontId="7" fillId="0" borderId="23" xfId="0" applyFont="1" applyFill="1" applyBorder="1" applyAlignment="1" applyProtection="1">
      <alignment horizontal="left"/>
      <protection locked="0"/>
    </xf>
    <xf numFmtId="168" fontId="6" fillId="0" borderId="23" xfId="0" applyFont="1" applyFill="1" applyBorder="1" applyAlignment="1" applyProtection="1">
      <alignment horizontal="right"/>
      <protection locked="0"/>
    </xf>
    <xf numFmtId="168" fontId="7" fillId="0" borderId="23" xfId="0" applyFont="1" applyFill="1" applyBorder="1" applyAlignment="1" applyProtection="1">
      <alignment horizontal="center"/>
      <protection locked="0"/>
    </xf>
    <xf numFmtId="168" fontId="7" fillId="0" borderId="23" xfId="0" applyFont="1" applyFill="1" applyBorder="1" applyAlignment="1" applyProtection="1">
      <alignment horizontal="center"/>
      <protection locked="0"/>
    </xf>
    <xf numFmtId="167" fontId="6" fillId="0" borderId="23" xfId="0" applyNumberFormat="1" applyFont="1" applyFill="1" applyBorder="1" applyAlignment="1" applyProtection="1">
      <alignment horizontal="center"/>
      <protection locked="0"/>
    </xf>
    <xf numFmtId="0" fontId="103" fillId="0" borderId="112" xfId="0" applyNumberFormat="1" applyFont="1" applyBorder="1" applyAlignment="1" applyProtection="1">
      <alignment horizontal="center"/>
      <protection locked="0"/>
    </xf>
    <xf numFmtId="164" fontId="5" fillId="34" borderId="0" xfId="62" applyNumberFormat="1" applyFont="1" applyFill="1" applyBorder="1" applyAlignment="1" applyProtection="1">
      <alignment horizontal="left" vertical="center" indent="1"/>
      <protection locked="0"/>
    </xf>
    <xf numFmtId="164" fontId="5" fillId="34" borderId="0" xfId="62" applyNumberFormat="1" applyFont="1" applyFill="1" applyBorder="1" applyAlignment="1" applyProtection="1">
      <alignment horizontal="left" indent="3"/>
      <protection locked="0"/>
    </xf>
    <xf numFmtId="168" fontId="14" fillId="0" borderId="0" xfId="0" applyFont="1" applyFill="1" applyBorder="1" applyAlignment="1" applyProtection="1">
      <alignment horizontal="left"/>
      <protection locked="0"/>
    </xf>
    <xf numFmtId="169" fontId="13" fillId="0" borderId="0" xfId="0" applyNumberFormat="1" applyFont="1" applyFill="1" applyAlignment="1" applyProtection="1">
      <alignment horizontal="center"/>
      <protection locked="0"/>
    </xf>
    <xf numFmtId="164" fontId="7" fillId="0" borderId="23" xfId="56" applyNumberFormat="1" applyFont="1" applyBorder="1" applyAlignment="1" applyProtection="1">
      <alignment horizontal="left"/>
      <protection locked="0"/>
    </xf>
    <xf numFmtId="164" fontId="5" fillId="34" borderId="0" xfId="62" applyNumberFormat="1" applyFont="1" applyFill="1" applyBorder="1" applyAlignment="1" applyProtection="1" quotePrefix="1">
      <alignment horizontal="left"/>
      <protection locked="0"/>
    </xf>
    <xf numFmtId="164" fontId="5" fillId="34" borderId="0" xfId="62" applyNumberFormat="1" applyFont="1" applyFill="1" applyBorder="1" applyAlignment="1" applyProtection="1">
      <alignment horizontal="left" wrapText="1" indent="2"/>
      <protection locked="0"/>
    </xf>
    <xf numFmtId="164" fontId="5" fillId="34" borderId="0" xfId="62" applyNumberFormat="1" applyFont="1" applyFill="1" applyBorder="1" applyAlignment="1" applyProtection="1">
      <alignment horizontal="left" indent="2"/>
      <protection locked="0"/>
    </xf>
    <xf numFmtId="0" fontId="17" fillId="33" borderId="0" xfId="56" applyNumberFormat="1" applyFont="1" applyFill="1" applyAlignment="1" applyProtection="1">
      <alignment horizontal="center"/>
      <protection locked="0"/>
    </xf>
    <xf numFmtId="0" fontId="14" fillId="33" borderId="0" xfId="56" applyNumberFormat="1" applyFont="1" applyFill="1" applyBorder="1" applyAlignment="1" applyProtection="1">
      <alignment horizontal="center"/>
      <protection locked="0"/>
    </xf>
    <xf numFmtId="168" fontId="0" fillId="0" borderId="0" xfId="0" applyAlignment="1" applyProtection="1">
      <alignment horizontal="center"/>
      <protection locked="0"/>
    </xf>
    <xf numFmtId="164" fontId="5" fillId="34" borderId="0" xfId="62" applyNumberFormat="1" applyFont="1" applyFill="1" applyBorder="1" applyAlignment="1" applyProtection="1">
      <alignment horizontal="left"/>
      <protection locked="0"/>
    </xf>
    <xf numFmtId="166" fontId="9" fillId="0" borderId="117" xfId="56" applyNumberFormat="1" applyFont="1" applyFill="1" applyBorder="1" applyAlignment="1" applyProtection="1">
      <alignment horizontal="center" vertical="center" wrapText="1"/>
      <protection locked="0"/>
    </xf>
    <xf numFmtId="166" fontId="9" fillId="0" borderId="118" xfId="56" applyNumberFormat="1" applyFont="1" applyFill="1" applyBorder="1" applyAlignment="1" applyProtection="1">
      <alignment horizontal="center"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3" xfId="57"/>
    <cellStyle name="Normal 3" xfId="58"/>
    <cellStyle name="Normal 4" xfId="59"/>
    <cellStyle name="Normal 5" xfId="60"/>
    <cellStyle name="Normal 6" xfId="61"/>
    <cellStyle name="Normal_Sheet1" xfId="62"/>
    <cellStyle name="Note" xfId="63"/>
    <cellStyle name="Output" xfId="64"/>
    <cellStyle name="Percent" xfId="65"/>
    <cellStyle name="Percent 2" xfId="66"/>
    <cellStyle name="Title" xfId="67"/>
    <cellStyle name="Total" xfId="68"/>
    <cellStyle name="Warning Text" xfId="69"/>
  </cellStyles>
  <dxfs count="5">
    <dxf>
      <fill>
        <patternFill>
          <bgColor rgb="FFFF0000"/>
        </patternFill>
      </fill>
    </dxf>
    <dxf>
      <fill>
        <patternFill>
          <bgColor rgb="FFFFFFD7"/>
        </patternFill>
      </fill>
    </dxf>
    <dxf/>
    <dxf>
      <fill>
        <patternFill>
          <bgColor rgb="FFFF0000"/>
        </patternFill>
      </fill>
    </dxf>
    <dxf>
      <fill>
        <patternFill>
          <bgColor rgb="FFFFFFDD"/>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forma&#231;&#227;o Legal'!A1" /><Relationship Id="rId2" Type="http://schemas.openxmlformats.org/officeDocument/2006/relationships/hyperlink" Target="#'Informa&#231;&#227;o Legal'!A1" /><Relationship Id="rId3" Type="http://schemas.openxmlformats.org/officeDocument/2006/relationships/image" Target="../media/image20.png" /><Relationship Id="rId4" Type="http://schemas.openxmlformats.org/officeDocument/2006/relationships/image" Target="../media/image19.png" /><Relationship Id="rId5" Type="http://schemas.openxmlformats.org/officeDocument/2006/relationships/image" Target="../media/image17.png" /><Relationship Id="rId6" Type="http://schemas.openxmlformats.org/officeDocument/2006/relationships/image" Target="../media/image4.png" /><Relationship Id="rId7"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hyperlink" Target="#Informa&#231;&#227;o!B5:E9" /><Relationship Id="rId2" Type="http://schemas.openxmlformats.org/officeDocument/2006/relationships/hyperlink" Target="#Informa&#231;&#227;o!B11:E13" /><Relationship Id="rId3" Type="http://schemas.openxmlformats.org/officeDocument/2006/relationships/hyperlink" Target="#Informa&#231;&#227;o!B15:E17" /><Relationship Id="rId4" Type="http://schemas.openxmlformats.org/officeDocument/2006/relationships/hyperlink" Target="#Informa&#231;&#227;o!B15:E17" /><Relationship Id="rId5" Type="http://schemas.openxmlformats.org/officeDocument/2006/relationships/hyperlink" Target="#Informa&#231;&#227;o!B19:E20" /><Relationship Id="rId6" Type="http://schemas.openxmlformats.org/officeDocument/2006/relationships/hyperlink" Target="#Informa&#231;&#227;o!B22:E23" /><Relationship Id="rId7" Type="http://schemas.openxmlformats.org/officeDocument/2006/relationships/hyperlink" Target="#Informa&#231;&#227;o!B32:E36" /><Relationship Id="rId8" Type="http://schemas.openxmlformats.org/officeDocument/2006/relationships/hyperlink" Target="#Informa&#231;&#227;o!B25:E27" /><Relationship Id="rId9" Type="http://schemas.openxmlformats.org/officeDocument/2006/relationships/hyperlink" Target="#Informa&#231;&#227;o!B29:E30" /><Relationship Id="rId10" Type="http://schemas.openxmlformats.org/officeDocument/2006/relationships/hyperlink" Target="#Informa&#231;&#227;o!B5:E9" /><Relationship Id="rId11" Type="http://schemas.openxmlformats.org/officeDocument/2006/relationships/hyperlink" Target="#Informa&#231;&#227;o!B11:E13" /><Relationship Id="rId12" Type="http://schemas.openxmlformats.org/officeDocument/2006/relationships/hyperlink" Target="#Informa&#231;&#227;o!B15:E17" /><Relationship Id="rId13" Type="http://schemas.openxmlformats.org/officeDocument/2006/relationships/hyperlink" Target="#Informa&#231;&#227;o!B15:E17" /><Relationship Id="rId14" Type="http://schemas.openxmlformats.org/officeDocument/2006/relationships/hyperlink" Target="#Informa&#231;&#227;o!B19:E20" /><Relationship Id="rId15" Type="http://schemas.openxmlformats.org/officeDocument/2006/relationships/hyperlink" Target="#Informa&#231;&#227;o!B22:E23" /><Relationship Id="rId16" Type="http://schemas.openxmlformats.org/officeDocument/2006/relationships/hyperlink" Target="#Informa&#231;&#227;o!B25:E27" /><Relationship Id="rId17" Type="http://schemas.openxmlformats.org/officeDocument/2006/relationships/hyperlink" Target="#Informa&#231;&#227;o!B32:E36" /><Relationship Id="rId18" Type="http://schemas.openxmlformats.org/officeDocument/2006/relationships/hyperlink" Target="#Informa&#231;&#227;o!B29:E30" /><Relationship Id="rId19" Type="http://schemas.openxmlformats.org/officeDocument/2006/relationships/hyperlink" Target="#Disclaimer!A1" /><Relationship Id="rId20" Type="http://schemas.openxmlformats.org/officeDocument/2006/relationships/hyperlink" Target="#C&#225;lculo!A1" /><Relationship Id="rId21" Type="http://schemas.openxmlformats.org/officeDocument/2006/relationships/hyperlink" Target="#Informa&#231;&#227;o!A1" /><Relationship Id="rId22" Type="http://schemas.openxmlformats.org/officeDocument/2006/relationships/hyperlink" Target="#Informa&#231;&#227;o!A1" /><Relationship Id="rId23" Type="http://schemas.openxmlformats.org/officeDocument/2006/relationships/hyperlink" Target="#Informa&#231;&#227;o!B5:E9" /><Relationship Id="rId24" Type="http://schemas.openxmlformats.org/officeDocument/2006/relationships/hyperlink" Target="#Informa&#231;&#227;o!B11:E13" /><Relationship Id="rId25" Type="http://schemas.openxmlformats.org/officeDocument/2006/relationships/hyperlink" Target="#Informa&#231;&#227;o!B15:E17" /><Relationship Id="rId26" Type="http://schemas.openxmlformats.org/officeDocument/2006/relationships/hyperlink" Target="#Informa&#231;&#227;o!B15:E17" /><Relationship Id="rId27" Type="http://schemas.openxmlformats.org/officeDocument/2006/relationships/hyperlink" Target="#Informa&#231;&#227;o!B19:E20" /><Relationship Id="rId28" Type="http://schemas.openxmlformats.org/officeDocument/2006/relationships/hyperlink" Target="#Informa&#231;&#227;o!B22:E23" /><Relationship Id="rId29" Type="http://schemas.openxmlformats.org/officeDocument/2006/relationships/hyperlink" Target="#Informa&#231;&#227;o!B32:E36" /><Relationship Id="rId30" Type="http://schemas.openxmlformats.org/officeDocument/2006/relationships/hyperlink" Target="#Informa&#231;&#227;o!B25:E27" /><Relationship Id="rId31" Type="http://schemas.openxmlformats.org/officeDocument/2006/relationships/hyperlink" Target="#Informa&#231;&#227;o!B29:E30" /><Relationship Id="rId32" Type="http://schemas.openxmlformats.org/officeDocument/2006/relationships/hyperlink" Target="#Informa&#231;&#227;o!B5:E9" /><Relationship Id="rId33" Type="http://schemas.openxmlformats.org/officeDocument/2006/relationships/hyperlink" Target="#Informa&#231;&#227;o!B11:E13" /><Relationship Id="rId34" Type="http://schemas.openxmlformats.org/officeDocument/2006/relationships/hyperlink" Target="#Informa&#231;&#227;o!B15:E17" /><Relationship Id="rId35" Type="http://schemas.openxmlformats.org/officeDocument/2006/relationships/hyperlink" Target="#Informa&#231;&#227;o!B15:E17" /><Relationship Id="rId36" Type="http://schemas.openxmlformats.org/officeDocument/2006/relationships/hyperlink" Target="#Informa&#231;&#227;o!B19:E20" /><Relationship Id="rId37" Type="http://schemas.openxmlformats.org/officeDocument/2006/relationships/hyperlink" Target="#Informa&#231;&#227;o!B22:E23" /><Relationship Id="rId38" Type="http://schemas.openxmlformats.org/officeDocument/2006/relationships/hyperlink" Target="#Informa&#231;&#227;o!B32:E36" /><Relationship Id="rId39" Type="http://schemas.openxmlformats.org/officeDocument/2006/relationships/hyperlink" Target="#Informa&#231;&#227;o!B25:E27" /><Relationship Id="rId40" Type="http://schemas.openxmlformats.org/officeDocument/2006/relationships/hyperlink" Target="#Informa&#231;&#227;o!B29:E30" /><Relationship Id="rId41" Type="http://schemas.openxmlformats.org/officeDocument/2006/relationships/hyperlink" Target="#Ajuda!A1" /><Relationship Id="rId42" Type="http://schemas.openxmlformats.org/officeDocument/2006/relationships/image" Target="../media/image15.emf" /><Relationship Id="rId43" Type="http://schemas.openxmlformats.org/officeDocument/2006/relationships/image" Target="../media/image6.emf" /><Relationship Id="rId44" Type="http://schemas.openxmlformats.org/officeDocument/2006/relationships/image" Target="../media/image11.emf" /><Relationship Id="rId45" Type="http://schemas.openxmlformats.org/officeDocument/2006/relationships/image" Target="../media/image9.emf" /><Relationship Id="rId46" Type="http://schemas.openxmlformats.org/officeDocument/2006/relationships/image" Target="../media/image8.emf" /><Relationship Id="rId47" Type="http://schemas.openxmlformats.org/officeDocument/2006/relationships/image" Target="../media/image10.emf" /><Relationship Id="rId48"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hyperlink" Target="http://www.pwc.com/pt/en/pwcinforfisco/orcamento-estado/imagens/textofinal2012/PwC-OE2012_Newsalert_Jan2012_vf.pdf" TargetMode="External" /><Relationship Id="rId2" Type="http://schemas.openxmlformats.org/officeDocument/2006/relationships/hyperlink" Target="http://www.pwc.com/pt/pt" TargetMode="External" /><Relationship Id="rId3" Type="http://schemas.openxmlformats.org/officeDocument/2006/relationships/hyperlink" Target="#'Simular IRS 2012'!A1"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14.emf" /><Relationship Id="rId8" Type="http://schemas.openxmlformats.org/officeDocument/2006/relationships/image" Target="../media/image7.emf" /><Relationship Id="rId9"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hyperlink" Target="#'10'!B20" /><Relationship Id="rId2" Type="http://schemas.openxmlformats.org/officeDocument/2006/relationships/hyperlink" Target="#'Simular IRS 2012'!A1" /><Relationship Id="rId3" Type="http://schemas.openxmlformats.org/officeDocument/2006/relationships/hyperlink" Target="http://www.pwc.com/pt/pt" TargetMode="External" /><Relationship Id="rId4" Type="http://schemas.openxmlformats.org/officeDocument/2006/relationships/hyperlink" Target="#'Simular IRS 2012'!A1" /><Relationship Id="rId5"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hyperlink" Target="#'Simular IRS 2012'!A1" /><Relationship Id="rId2"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hyperlink" Target="#'Simular IRS 2012'!A1" /><Relationship Id="rId2" Type="http://schemas.openxmlformats.org/officeDocument/2006/relationships/hyperlink" Target="#'Simular IRS 2012'!A1" /><Relationship Id="rId3"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11</xdr:row>
      <xdr:rowOff>76200</xdr:rowOff>
    </xdr:from>
    <xdr:to>
      <xdr:col>1</xdr:col>
      <xdr:colOff>6610350</xdr:colOff>
      <xdr:row>31</xdr:row>
      <xdr:rowOff>152400</xdr:rowOff>
    </xdr:to>
    <xdr:grpSp>
      <xdr:nvGrpSpPr>
        <xdr:cNvPr id="1" name="Group 4"/>
        <xdr:cNvGrpSpPr>
          <a:grpSpLocks/>
        </xdr:cNvGrpSpPr>
      </xdr:nvGrpSpPr>
      <xdr:grpSpPr>
        <a:xfrm>
          <a:off x="895350" y="1543050"/>
          <a:ext cx="6219825" cy="3438525"/>
          <a:chOff x="6808263" y="1209674"/>
          <a:chExt cx="1543621" cy="864201"/>
        </a:xfrm>
        <a:solidFill>
          <a:srgbClr val="FFFFFF"/>
        </a:solidFill>
      </xdr:grpSpPr>
      <xdr:sp>
        <xdr:nvSpPr>
          <xdr:cNvPr id="2" name="Rectangle 2"/>
          <xdr:cNvSpPr>
            <a:spLocks/>
          </xdr:cNvSpPr>
        </xdr:nvSpPr>
        <xdr:spPr>
          <a:xfrm>
            <a:off x="6867307" y="1209674"/>
            <a:ext cx="1484577" cy="852318"/>
          </a:xfrm>
          <a:prstGeom prst="rect">
            <a:avLst/>
          </a:prstGeom>
          <a:solidFill>
            <a:srgbClr val="F79646"/>
          </a:solidFill>
          <a:ln w="25400" cmpd="sng">
            <a:noFill/>
          </a:ln>
        </xdr:spPr>
        <xdr:txBody>
          <a:bodyPr vertOverflow="clip" wrap="square" lIns="91440" tIns="108000" rIns="91440" bIns="45720"/>
          <a:p>
            <a:pPr algn="l">
              <a:defRPr/>
            </a:pPr>
            <a:r>
              <a:rPr lang="en-US" cap="none" sz="1600" b="1" i="0" u="none" baseline="0">
                <a:solidFill>
                  <a:srgbClr val="FFFFFF"/>
                </a:solidFill>
              </a:rPr>
              <a:t>O </a:t>
            </a:r>
            <a:r>
              <a:rPr lang="en-US" cap="none" sz="1600" b="1" i="0" u="none" baseline="0">
                <a:solidFill>
                  <a:srgbClr val="FFFFFF"/>
                </a:solidFill>
              </a:rPr>
              <a:t>Simulador requer a utilização de uma versão do Microsoft Office Excel 2007 ou</a:t>
            </a:r>
            <a:r>
              <a:rPr lang="en-US" cap="none" sz="1600" b="1" i="0" u="none" baseline="0">
                <a:solidFill>
                  <a:srgbClr val="FFFFFF"/>
                </a:solidFill>
              </a:rPr>
              <a:t> outra compatível</a:t>
            </a:r>
            <a:r>
              <a:rPr lang="en-US" cap="none" sz="1600" b="1" i="0" u="none" baseline="0">
                <a:solidFill>
                  <a:srgbClr val="FFFFFF"/>
                </a:solidFill>
              </a:rPr>
              <a:t>.
</a:t>
            </a:r>
            <a:r>
              <a:rPr lang="en-US" cap="none" sz="1200" b="1" i="0" u="none" baseline="0">
                <a:solidFill>
                  <a:srgbClr val="FFFFFF"/>
                </a:solidFill>
              </a:rPr>
              <a:t>
</a:t>
            </a:r>
            <a:r>
              <a:rPr lang="en-US" cap="none" sz="1250" b="1" i="0" u="none" baseline="0">
                <a:solidFill>
                  <a:srgbClr val="FFFFFF"/>
                </a:solidFill>
              </a:rPr>
              <a:t>Se </a:t>
            </a:r>
            <a:r>
              <a:rPr lang="en-US" cap="none" sz="1250" b="1" i="0" u="none" baseline="0">
                <a:solidFill>
                  <a:srgbClr val="FFFFFF"/>
                </a:solidFill>
              </a:rPr>
              <a:t> observar problemas na execução das macros deverá seguir os passos abaixo elencados.
</a:t>
            </a:r>
            <a:r>
              <a:rPr lang="en-US" cap="none" sz="1250" b="1" i="0" u="none" baseline="0">
                <a:solidFill>
                  <a:srgbClr val="FFFFFF"/>
                </a:solidFill>
              </a:rPr>
              <a:t>
</a:t>
            </a:r>
            <a:r>
              <a:rPr lang="en-US" cap="none" sz="1250" b="1" i="0" u="none" baseline="0">
                <a:solidFill>
                  <a:srgbClr val="FFFFFF"/>
                </a:solidFill>
              </a:rPr>
              <a:t>Passos para o utilizador que possua o Microsoft Office Excel em Inglês: 
</a:t>
            </a:r>
            <a:r>
              <a:rPr lang="en-US" cap="none" sz="1250" b="1" i="0" u="none" baseline="0">
                <a:solidFill>
                  <a:srgbClr val="FFFFFF"/>
                </a:solidFill>
              </a:rPr>
              <a:t>
</a:t>
            </a:r>
            <a:r>
              <a:rPr lang="en-US" cap="none" sz="1250" b="0" i="0" u="none" baseline="0">
                <a:solidFill>
                  <a:srgbClr val="FFFFFF"/>
                </a:solidFill>
              </a:rPr>
              <a:t>Botão iniciar</a:t>
            </a:r>
            <a:r>
              <a:rPr lang="en-US" cap="none" sz="1250" b="0" i="0" u="none" baseline="0">
                <a:solidFill>
                  <a:srgbClr val="FFFFFF"/>
                </a:solidFill>
              </a:rPr>
              <a:t> </a:t>
            </a:r>
            <a:r>
              <a:rPr lang="en-US" cap="none" sz="1250" b="0" i="0" u="none" baseline="0">
                <a:solidFill>
                  <a:srgbClr val="FFFFFF"/>
                </a:solidFill>
              </a:rPr>
              <a:t>do Excel – Excel Options – Trust Center –  Trust Center Settings – Macro Settings – Enable all Macros (not recommended, potentially dangerous code can run) </a:t>
            </a:r>
            <a:r>
              <a:rPr lang="en-US" cap="none" sz="1250" b="0" i="0" u="none" baseline="0">
                <a:solidFill>
                  <a:srgbClr val="FFFFFF"/>
                </a:solidFill>
              </a:rPr>
              <a:t> -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conforme segue: Botão Iniciar do Excel – Save as Excel 1997 - 2003.
</a:t>
            </a:r>
            <a:r>
              <a:rPr lang="en-US" cap="none" sz="1250" b="0" i="0" u="none" baseline="0">
                <a:solidFill>
                  <a:srgbClr val="FFFFFF"/>
                </a:solidFill>
              </a:rPr>
              <a:t> 
</a:t>
            </a:r>
            <a:r>
              <a:rPr lang="en-US" cap="none" sz="1250" b="0" i="0" u="none" baseline="0">
                <a:solidFill>
                  <a:srgbClr val="FFFFFF"/>
                </a:solidFill>
              </a:rPr>
              <a:t>Fechar e voltar a abrir o documento gravado. Veja abaixo as opções a seleccionar:</a:t>
            </a:r>
          </a:p>
        </xdr:txBody>
      </xdr:sp>
      <xdr:sp>
        <xdr:nvSpPr>
          <xdr:cNvPr id="3" name="Rectangle 3"/>
          <xdr:cNvSpPr>
            <a:spLocks/>
          </xdr:cNvSpPr>
        </xdr:nvSpPr>
        <xdr:spPr>
          <a:xfrm>
            <a:off x="6808263" y="2059616"/>
            <a:ext cx="59044" cy="14259"/>
          </a:xfrm>
          <a:prstGeom prst="rect">
            <a:avLst/>
          </a:prstGeom>
          <a:solidFill>
            <a:srgbClr val="F79646"/>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2</xdr:col>
      <xdr:colOff>152400</xdr:colOff>
      <xdr:row>0</xdr:row>
      <xdr:rowOff>123825</xdr:rowOff>
    </xdr:from>
    <xdr:to>
      <xdr:col>3</xdr:col>
      <xdr:colOff>600075</xdr:colOff>
      <xdr:row>5</xdr:row>
      <xdr:rowOff>47625</xdr:rowOff>
    </xdr:to>
    <xdr:grpSp>
      <xdr:nvGrpSpPr>
        <xdr:cNvPr id="4" name="Group 10"/>
        <xdr:cNvGrpSpPr>
          <a:grpSpLocks/>
        </xdr:cNvGrpSpPr>
      </xdr:nvGrpSpPr>
      <xdr:grpSpPr>
        <a:xfrm>
          <a:off x="8277225" y="123825"/>
          <a:ext cx="1171575" cy="695325"/>
          <a:chOff x="6727750" y="1311664"/>
          <a:chExt cx="1143842" cy="724274"/>
        </a:xfrm>
        <a:solidFill>
          <a:srgbClr val="FFFFFF"/>
        </a:solidFill>
      </xdr:grpSpPr>
      <xdr:sp>
        <xdr:nvSpPr>
          <xdr:cNvPr id="5" name="Rectangle 5">
            <a:hlinkClick r:id="rId1"/>
          </xdr:cNvPr>
          <xdr:cNvSpPr>
            <a:spLocks/>
          </xdr:cNvSpPr>
        </xdr:nvSpPr>
        <xdr:spPr>
          <a:xfrm>
            <a:off x="6870444" y="1314923"/>
            <a:ext cx="998002" cy="671583"/>
          </a:xfrm>
          <a:prstGeom prst="rect">
            <a:avLst/>
          </a:prstGeom>
          <a:noFill/>
          <a:ln w="25400" cmpd="sng">
            <a:noFill/>
          </a:ln>
        </xdr:spPr>
        <xdr:txBody>
          <a:bodyPr vertOverflow="clip" wrap="square" anchor="ctr"/>
          <a:p>
            <a:pPr algn="l">
              <a:defRPr/>
            </a:pPr>
            <a:r>
              <a:rPr lang="en-US" cap="none" sz="1200" b="1" i="0" u="none" baseline="0">
                <a:solidFill>
                  <a:srgbClr val="FFFFFF"/>
                </a:solidFill>
              </a:rPr>
              <a:t>Simular IRS 2012</a:t>
            </a:r>
          </a:p>
        </xdr:txBody>
      </xdr:sp>
      <xdr:sp>
        <xdr:nvSpPr>
          <xdr:cNvPr id="6" name="Rectangle 6"/>
          <xdr:cNvSpPr>
            <a:spLocks/>
          </xdr:cNvSpPr>
        </xdr:nvSpPr>
        <xdr:spPr>
          <a:xfrm>
            <a:off x="6731753" y="1986506"/>
            <a:ext cx="138691" cy="4943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476250</xdr:colOff>
      <xdr:row>75</xdr:row>
      <xdr:rowOff>85725</xdr:rowOff>
    </xdr:from>
    <xdr:to>
      <xdr:col>1</xdr:col>
      <xdr:colOff>6315075</xdr:colOff>
      <xdr:row>88</xdr:row>
      <xdr:rowOff>95250</xdr:rowOff>
    </xdr:to>
    <xdr:grpSp>
      <xdr:nvGrpSpPr>
        <xdr:cNvPr id="7" name="Group 4"/>
        <xdr:cNvGrpSpPr>
          <a:grpSpLocks/>
        </xdr:cNvGrpSpPr>
      </xdr:nvGrpSpPr>
      <xdr:grpSpPr>
        <a:xfrm>
          <a:off x="981075" y="12915900"/>
          <a:ext cx="5838825" cy="2362200"/>
          <a:chOff x="6810577" y="1163553"/>
          <a:chExt cx="1323767" cy="762530"/>
        </a:xfrm>
        <a:solidFill>
          <a:srgbClr val="FFFFFF"/>
        </a:solidFill>
      </xdr:grpSpPr>
      <xdr:sp>
        <xdr:nvSpPr>
          <xdr:cNvPr id="8" name="Rectangle 8"/>
          <xdr:cNvSpPr>
            <a:spLocks/>
          </xdr:cNvSpPr>
        </xdr:nvSpPr>
        <xdr:spPr>
          <a:xfrm>
            <a:off x="6868823" y="1163553"/>
            <a:ext cx="1265521" cy="750139"/>
          </a:xfrm>
          <a:prstGeom prst="rect">
            <a:avLst/>
          </a:prstGeom>
          <a:solidFill>
            <a:srgbClr val="F79646"/>
          </a:solidFill>
          <a:ln w="25400" cmpd="sng">
            <a:noFill/>
          </a:ln>
        </xdr:spPr>
        <xdr:txBody>
          <a:bodyPr vertOverflow="clip" wrap="square" anchor="ctr"/>
          <a:p>
            <a:pPr algn="l">
              <a:defRPr/>
            </a:pPr>
            <a:r>
              <a:rPr lang="en-US" cap="none" sz="1250" b="1" i="0" u="none" baseline="0">
                <a:solidFill>
                  <a:srgbClr val="FFFFFF"/>
                </a:solidFill>
              </a:rPr>
              <a:t>Passos para o utilizador que possua o Microsoft Office Excel em Português: </a:t>
            </a:r>
            <a:r>
              <a:rPr lang="en-US" cap="none" sz="1250" b="1"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Botão start do Excel  - Opções do Excel - Centro de Fidedignidade - Definições do Centro de Fidedignidade  -  Definições das Macros - Activar todas as Macros (não recomendável; poderá ser executado um código potencialmente perigoso)</a:t>
            </a:r>
            <a:r>
              <a:rPr lang="en-US" cap="none" sz="1250" b="0" i="0" u="none" baseline="0">
                <a:solidFill>
                  <a:srgbClr val="FFFFFF"/>
                </a:solidFill>
              </a:rPr>
              <a:t> - OK</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Seguidamente deverá guardar o documento: Botão Iniciar do Excel – Salvar como Excel 1997 - 2003.</a:t>
            </a:r>
            <a:r>
              <a:rPr lang="en-US" cap="none" sz="1250" b="0" i="0" u="none" baseline="0">
                <a:solidFill>
                  <a:srgbClr val="FFFFFF"/>
                </a:solidFill>
              </a:rPr>
              <a:t>
</a:t>
            </a:r>
            <a:r>
              <a:rPr lang="en-US" cap="none" sz="1250" b="0" i="0" u="none" baseline="0">
                <a:solidFill>
                  <a:srgbClr val="FFFFFF"/>
                </a:solidFill>
              </a:rPr>
              <a:t> 
</a:t>
            </a:r>
            <a:r>
              <a:rPr lang="en-US" cap="none" sz="1250" b="0" i="0" u="none" baseline="0">
                <a:solidFill>
                  <a:srgbClr val="FFFFFF"/>
                </a:solidFill>
              </a:rPr>
              <a:t>Fechar e voltar a abrir o documento gravado.</a:t>
            </a:r>
            <a:r>
              <a:rPr lang="en-US" cap="none" sz="1250" b="0" i="0" u="none" baseline="0">
                <a:solidFill>
                  <a:srgbClr val="FFFFFF"/>
                </a:solidFill>
              </a:rPr>
              <a:t> </a:t>
            </a:r>
          </a:p>
        </xdr:txBody>
      </xdr:sp>
      <xdr:sp>
        <xdr:nvSpPr>
          <xdr:cNvPr id="9" name="Rectangle 9"/>
          <xdr:cNvSpPr>
            <a:spLocks/>
          </xdr:cNvSpPr>
        </xdr:nvSpPr>
        <xdr:spPr>
          <a:xfrm>
            <a:off x="6810577" y="1910642"/>
            <a:ext cx="58246" cy="15441"/>
          </a:xfrm>
          <a:prstGeom prst="rect">
            <a:avLst/>
          </a:prstGeom>
          <a:solidFill>
            <a:srgbClr val="F79646"/>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xdr:col>
      <xdr:colOff>5638800</xdr:colOff>
      <xdr:row>85</xdr:row>
      <xdr:rowOff>104775</xdr:rowOff>
    </xdr:from>
    <xdr:to>
      <xdr:col>1</xdr:col>
      <xdr:colOff>7191375</xdr:colOff>
      <xdr:row>95</xdr:row>
      <xdr:rowOff>0</xdr:rowOff>
    </xdr:to>
    <xdr:grpSp>
      <xdr:nvGrpSpPr>
        <xdr:cNvPr id="10" name="Group 7"/>
        <xdr:cNvGrpSpPr>
          <a:grpSpLocks/>
        </xdr:cNvGrpSpPr>
      </xdr:nvGrpSpPr>
      <xdr:grpSpPr>
        <a:xfrm>
          <a:off x="6143625" y="14744700"/>
          <a:ext cx="1552575" cy="1704975"/>
          <a:chOff x="6800798" y="1518146"/>
          <a:chExt cx="961307" cy="996384"/>
        </a:xfrm>
        <a:solidFill>
          <a:srgbClr val="FFFFFF"/>
        </a:solidFill>
      </xdr:grpSpPr>
      <xdr:sp>
        <xdr:nvSpPr>
          <xdr:cNvPr id="11" name="Rectangle 11">
            <a:hlinkClick r:id="rId2"/>
          </xdr:cNvPr>
          <xdr:cNvSpPr>
            <a:spLocks/>
          </xdr:cNvSpPr>
        </xdr:nvSpPr>
        <xdr:spPr>
          <a:xfrm>
            <a:off x="6805364" y="2061175"/>
            <a:ext cx="956741" cy="431185"/>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12" name="Rectangle 12"/>
          <xdr:cNvSpPr>
            <a:spLocks/>
          </xdr:cNvSpPr>
        </xdr:nvSpPr>
        <xdr:spPr>
          <a:xfrm>
            <a:off x="6800798" y="2486880"/>
            <a:ext cx="76664" cy="276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3981450</xdr:colOff>
      <xdr:row>33</xdr:row>
      <xdr:rowOff>142875</xdr:rowOff>
    </xdr:from>
    <xdr:to>
      <xdr:col>3</xdr:col>
      <xdr:colOff>581025</xdr:colOff>
      <xdr:row>51</xdr:row>
      <xdr:rowOff>104775</xdr:rowOff>
    </xdr:to>
    <xdr:grpSp>
      <xdr:nvGrpSpPr>
        <xdr:cNvPr id="13" name="Group 44"/>
        <xdr:cNvGrpSpPr>
          <a:grpSpLocks/>
        </xdr:cNvGrpSpPr>
      </xdr:nvGrpSpPr>
      <xdr:grpSpPr>
        <a:xfrm>
          <a:off x="4486275" y="5334000"/>
          <a:ext cx="4943475" cy="3257550"/>
          <a:chOff x="4486275" y="5286151"/>
          <a:chExt cx="4944835" cy="3257774"/>
        </a:xfrm>
        <a:solidFill>
          <a:srgbClr val="FFFFFF"/>
        </a:solidFill>
      </xdr:grpSpPr>
      <xdr:pic>
        <xdr:nvPicPr>
          <xdr:cNvPr id="14" name="Picture 351"/>
          <xdr:cNvPicPr preferRelativeResize="1">
            <a:picLocks noChangeAspect="1"/>
          </xdr:cNvPicPr>
        </xdr:nvPicPr>
        <xdr:blipFill>
          <a:blip r:embed="rId3"/>
          <a:stretch>
            <a:fillRect/>
          </a:stretch>
        </xdr:blipFill>
        <xdr:spPr>
          <a:xfrm>
            <a:off x="4486275" y="5286151"/>
            <a:ext cx="4944835" cy="3257774"/>
          </a:xfrm>
          <a:prstGeom prst="rect">
            <a:avLst/>
          </a:prstGeom>
          <a:noFill/>
          <a:ln w="9525" cmpd="sng">
            <a:noFill/>
          </a:ln>
        </xdr:spPr>
      </xdr:pic>
      <xdr:sp>
        <xdr:nvSpPr>
          <xdr:cNvPr id="15" name="Left Arrow 15"/>
          <xdr:cNvSpPr>
            <a:spLocks/>
          </xdr:cNvSpPr>
        </xdr:nvSpPr>
        <xdr:spPr>
          <a:xfrm rot="18518080">
            <a:off x="8783337" y="7714822"/>
            <a:ext cx="171833" cy="247591"/>
          </a:xfrm>
          <a:prstGeom prst="leftArrow">
            <a:avLst>
              <a:gd name="adj" fmla="val -15379"/>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ounded Rectangle 16"/>
          <xdr:cNvSpPr>
            <a:spLocks/>
          </xdr:cNvSpPr>
        </xdr:nvSpPr>
        <xdr:spPr>
          <a:xfrm>
            <a:off x="4504818" y="6876759"/>
            <a:ext cx="991439" cy="24759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323850</xdr:colOff>
      <xdr:row>32</xdr:row>
      <xdr:rowOff>114300</xdr:rowOff>
    </xdr:from>
    <xdr:to>
      <xdr:col>1</xdr:col>
      <xdr:colOff>3267075</xdr:colOff>
      <xdr:row>51</xdr:row>
      <xdr:rowOff>152400</xdr:rowOff>
    </xdr:to>
    <xdr:grpSp>
      <xdr:nvGrpSpPr>
        <xdr:cNvPr id="17" name="Group 43"/>
        <xdr:cNvGrpSpPr>
          <a:grpSpLocks/>
        </xdr:cNvGrpSpPr>
      </xdr:nvGrpSpPr>
      <xdr:grpSpPr>
        <a:xfrm>
          <a:off x="828675" y="5124450"/>
          <a:ext cx="2943225" cy="3514725"/>
          <a:chOff x="828676" y="5067671"/>
          <a:chExt cx="2943832" cy="3511276"/>
        </a:xfrm>
        <a:solidFill>
          <a:srgbClr val="FFFFFF"/>
        </a:solidFill>
      </xdr:grpSpPr>
      <xdr:pic>
        <xdr:nvPicPr>
          <xdr:cNvPr id="18" name="Picture 349"/>
          <xdr:cNvPicPr preferRelativeResize="1">
            <a:picLocks noChangeAspect="1"/>
          </xdr:cNvPicPr>
        </xdr:nvPicPr>
        <xdr:blipFill>
          <a:blip r:embed="rId4"/>
          <a:stretch>
            <a:fillRect/>
          </a:stretch>
        </xdr:blipFill>
        <xdr:spPr>
          <a:xfrm>
            <a:off x="828676" y="5292393"/>
            <a:ext cx="2943832" cy="3269876"/>
          </a:xfrm>
          <a:prstGeom prst="rect">
            <a:avLst/>
          </a:prstGeom>
          <a:noFill/>
          <a:ln w="9525" cmpd="sng">
            <a:noFill/>
          </a:ln>
        </xdr:spPr>
      </xdr:pic>
      <xdr:sp>
        <xdr:nvSpPr>
          <xdr:cNvPr id="19" name="Rounded Rectangle 19"/>
          <xdr:cNvSpPr>
            <a:spLocks/>
          </xdr:cNvSpPr>
        </xdr:nvSpPr>
        <xdr:spPr>
          <a:xfrm>
            <a:off x="2391115" y="8350714"/>
            <a:ext cx="799986" cy="22823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eft Arrow 20"/>
          <xdr:cNvSpPr>
            <a:spLocks/>
          </xdr:cNvSpPr>
        </xdr:nvSpPr>
        <xdr:spPr>
          <a:xfrm rot="18518080">
            <a:off x="1019289" y="5067671"/>
            <a:ext cx="171478" cy="247545"/>
          </a:xfrm>
          <a:prstGeom prst="leftArrow">
            <a:avLst>
              <a:gd name="adj" fmla="val -15342"/>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257175</xdr:colOff>
      <xdr:row>53</xdr:row>
      <xdr:rowOff>95250</xdr:rowOff>
    </xdr:from>
    <xdr:to>
      <xdr:col>1</xdr:col>
      <xdr:colOff>4591050</xdr:colOff>
      <xdr:row>67</xdr:row>
      <xdr:rowOff>114300</xdr:rowOff>
    </xdr:to>
    <xdr:grpSp>
      <xdr:nvGrpSpPr>
        <xdr:cNvPr id="21" name="Group 45"/>
        <xdr:cNvGrpSpPr>
          <a:grpSpLocks/>
        </xdr:cNvGrpSpPr>
      </xdr:nvGrpSpPr>
      <xdr:grpSpPr>
        <a:xfrm>
          <a:off x="762000" y="8943975"/>
          <a:ext cx="4333875" cy="2552700"/>
          <a:chOff x="761829" y="8896350"/>
          <a:chExt cx="4334046" cy="2552700"/>
        </a:xfrm>
        <a:solidFill>
          <a:srgbClr val="FFFFFF"/>
        </a:solidFill>
      </xdr:grpSpPr>
      <xdr:pic>
        <xdr:nvPicPr>
          <xdr:cNvPr id="22" name="Picture 345"/>
          <xdr:cNvPicPr preferRelativeResize="1">
            <a:picLocks noChangeAspect="1"/>
          </xdr:cNvPicPr>
        </xdr:nvPicPr>
        <xdr:blipFill>
          <a:blip r:embed="rId5"/>
          <a:stretch>
            <a:fillRect/>
          </a:stretch>
        </xdr:blipFill>
        <xdr:spPr>
          <a:xfrm>
            <a:off x="761829" y="8896350"/>
            <a:ext cx="4334046" cy="2552700"/>
          </a:xfrm>
          <a:prstGeom prst="rect">
            <a:avLst/>
          </a:prstGeom>
          <a:noFill/>
          <a:ln w="9525" cmpd="sng">
            <a:noFill/>
          </a:ln>
        </xdr:spPr>
      </xdr:pic>
      <xdr:sp>
        <xdr:nvSpPr>
          <xdr:cNvPr id="23" name="Left Arrow 23"/>
          <xdr:cNvSpPr>
            <a:spLocks/>
          </xdr:cNvSpPr>
        </xdr:nvSpPr>
        <xdr:spPr>
          <a:xfrm rot="18518080">
            <a:off x="4314663" y="10934681"/>
            <a:ext cx="171195" cy="247612"/>
          </a:xfrm>
          <a:prstGeom prst="leftArrow">
            <a:avLst>
              <a:gd name="adj" fmla="val -15384"/>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Rounded Rectangle 24"/>
          <xdr:cNvSpPr>
            <a:spLocks/>
          </xdr:cNvSpPr>
        </xdr:nvSpPr>
        <xdr:spPr>
          <a:xfrm>
            <a:off x="799752" y="9953806"/>
            <a:ext cx="904732" cy="247612"/>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Rounded Rectangle 25"/>
          <xdr:cNvSpPr>
            <a:spLocks/>
          </xdr:cNvSpPr>
        </xdr:nvSpPr>
        <xdr:spPr>
          <a:xfrm>
            <a:off x="1942857" y="10020176"/>
            <a:ext cx="2942817" cy="13337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4962525</xdr:colOff>
      <xdr:row>52</xdr:row>
      <xdr:rowOff>66675</xdr:rowOff>
    </xdr:from>
    <xdr:to>
      <xdr:col>2</xdr:col>
      <xdr:colOff>657225</xdr:colOff>
      <xdr:row>74</xdr:row>
      <xdr:rowOff>19050</xdr:rowOff>
    </xdr:to>
    <xdr:grpSp>
      <xdr:nvGrpSpPr>
        <xdr:cNvPr id="26" name="Group 46"/>
        <xdr:cNvGrpSpPr>
          <a:grpSpLocks/>
        </xdr:cNvGrpSpPr>
      </xdr:nvGrpSpPr>
      <xdr:grpSpPr>
        <a:xfrm>
          <a:off x="5467350" y="8734425"/>
          <a:ext cx="3314700" cy="3933825"/>
          <a:chOff x="5467351" y="8686800"/>
          <a:chExt cx="3314700" cy="3938487"/>
        </a:xfrm>
        <a:solidFill>
          <a:srgbClr val="FFFFFF"/>
        </a:solidFill>
      </xdr:grpSpPr>
      <xdr:pic>
        <xdr:nvPicPr>
          <xdr:cNvPr id="27" name="Picture 353"/>
          <xdr:cNvPicPr preferRelativeResize="1">
            <a:picLocks noChangeAspect="1"/>
          </xdr:cNvPicPr>
        </xdr:nvPicPr>
        <xdr:blipFill>
          <a:blip r:embed="rId6"/>
          <a:stretch>
            <a:fillRect/>
          </a:stretch>
        </xdr:blipFill>
        <xdr:spPr>
          <a:xfrm>
            <a:off x="5467351" y="8934925"/>
            <a:ext cx="3314700" cy="3690362"/>
          </a:xfrm>
          <a:prstGeom prst="rect">
            <a:avLst/>
          </a:prstGeom>
          <a:noFill/>
          <a:ln w="9525" cmpd="sng">
            <a:noFill/>
          </a:ln>
        </xdr:spPr>
      </xdr:pic>
      <xdr:sp>
        <xdr:nvSpPr>
          <xdr:cNvPr id="28" name="Left Arrow 28"/>
          <xdr:cNvSpPr>
            <a:spLocks/>
          </xdr:cNvSpPr>
        </xdr:nvSpPr>
        <xdr:spPr>
          <a:xfrm rot="18518080">
            <a:off x="5696065" y="8686800"/>
            <a:ext cx="171536" cy="248125"/>
          </a:xfrm>
          <a:prstGeom prst="leftArrow">
            <a:avLst>
              <a:gd name="adj" fmla="val -15425"/>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Rounded Rectangle 29"/>
          <xdr:cNvSpPr>
            <a:spLocks/>
          </xdr:cNvSpPr>
        </xdr:nvSpPr>
        <xdr:spPr>
          <a:xfrm flipV="1">
            <a:off x="5476466" y="10307487"/>
            <a:ext cx="904913" cy="35249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ounded Rectangle 30"/>
          <xdr:cNvSpPr>
            <a:spLocks/>
          </xdr:cNvSpPr>
        </xdr:nvSpPr>
        <xdr:spPr>
          <a:xfrm>
            <a:off x="6391324" y="10679674"/>
            <a:ext cx="2286314" cy="439141"/>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76200</xdr:colOff>
      <xdr:row>0</xdr:row>
      <xdr:rowOff>57150</xdr:rowOff>
    </xdr:from>
    <xdr:to>
      <xdr:col>1</xdr:col>
      <xdr:colOff>1057275</xdr:colOff>
      <xdr:row>5</xdr:row>
      <xdr:rowOff>47625</xdr:rowOff>
    </xdr:to>
    <xdr:pic>
      <xdr:nvPicPr>
        <xdr:cNvPr id="31" name="Image1"/>
        <xdr:cNvPicPr preferRelativeResize="1">
          <a:picLocks noChangeAspect="1"/>
        </xdr:cNvPicPr>
      </xdr:nvPicPr>
      <xdr:blipFill>
        <a:blip r:embed="rId7"/>
        <a:stretch>
          <a:fillRect/>
        </a:stretch>
      </xdr:blipFill>
      <xdr:spPr>
        <a:xfrm>
          <a:off x="581025" y="57150"/>
          <a:ext cx="9810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61</xdr:row>
      <xdr:rowOff>95250</xdr:rowOff>
    </xdr:from>
    <xdr:to>
      <xdr:col>5</xdr:col>
      <xdr:colOff>38100</xdr:colOff>
      <xdr:row>89</xdr:row>
      <xdr:rowOff>57150</xdr:rowOff>
    </xdr:to>
    <xdr:grpSp>
      <xdr:nvGrpSpPr>
        <xdr:cNvPr id="1" name="Group 13"/>
        <xdr:cNvGrpSpPr>
          <a:grpSpLocks/>
        </xdr:cNvGrpSpPr>
      </xdr:nvGrpSpPr>
      <xdr:grpSpPr>
        <a:xfrm>
          <a:off x="1790700" y="9801225"/>
          <a:ext cx="333375" cy="3362325"/>
          <a:chOff x="2533649" y="8667749"/>
          <a:chExt cx="200025" cy="3601131"/>
        </a:xfrm>
        <a:solidFill>
          <a:srgbClr val="FFFFFF"/>
        </a:solidFill>
      </xdr:grpSpPr>
      <xdr:sp>
        <xdr:nvSpPr>
          <xdr:cNvPr id="2" name="TextBox 3">
            <a:hlinkClick r:id="rId1"/>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 name="TextBox 4">
            <a:hlinkClick r:id="rId2"/>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 name="TextBox 5">
            <a:hlinkClick r:id="rId3"/>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5" name="TextBox 6">
            <a:hlinkClick r:id="rId4"/>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6" name="TextBox 7">
            <a:hlinkClick r:id="rId5"/>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7" name="TextBox 8">
            <a:hlinkClick r:id="rId6"/>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8" name="TextBox 9">
            <a:hlinkClick r:id="rId7"/>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9" name="TextBox 10">
            <a:hlinkClick r:id="rId8"/>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0" name="TextBox 12">
            <a:hlinkClick r:id="rId9"/>
          </xdr:cNvPr>
          <xdr:cNvSpPr txBox="1">
            <a:spLocks noChangeArrowheads="1"/>
          </xdr:cNvSpPr>
        </xdr:nvSpPr>
        <xdr:spPr>
          <a:xfrm>
            <a:off x="2533649" y="9279941"/>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xdr:from>
      <xdr:col>4</xdr:col>
      <xdr:colOff>133350</xdr:colOff>
      <xdr:row>92</xdr:row>
      <xdr:rowOff>0</xdr:rowOff>
    </xdr:from>
    <xdr:to>
      <xdr:col>4</xdr:col>
      <xdr:colOff>342900</xdr:colOff>
      <xdr:row>118</xdr:row>
      <xdr:rowOff>190500</xdr:rowOff>
    </xdr:to>
    <xdr:grpSp>
      <xdr:nvGrpSpPr>
        <xdr:cNvPr id="11" name="Group 26"/>
        <xdr:cNvGrpSpPr>
          <a:grpSpLocks/>
        </xdr:cNvGrpSpPr>
      </xdr:nvGrpSpPr>
      <xdr:grpSpPr>
        <a:xfrm>
          <a:off x="1847850" y="13230225"/>
          <a:ext cx="209550" cy="0"/>
          <a:chOff x="1847851" y="8964777"/>
          <a:chExt cx="209550" cy="3567495"/>
        </a:xfrm>
        <a:solidFill>
          <a:srgbClr val="FFFFFF"/>
        </a:solidFill>
      </xdr:grpSpPr>
      <xdr:sp>
        <xdr:nvSpPr>
          <xdr:cNvPr id="12" name="TextBox 14">
            <a:hlinkClick r:id="rId10"/>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3" name="TextBox 15">
            <a:hlinkClick r:id="rId11"/>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4" name="TextBox 17">
            <a:hlinkClick r:id="rId12"/>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5" name="TextBox 18">
            <a:hlinkClick r:id="rId13"/>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6" name="TextBox 19">
            <a:hlinkClick r:id="rId14"/>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7" name="TextBox 21">
            <a:hlinkClick r:id="rId15"/>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8" name="TextBox 22">
            <a:hlinkClick r:id="rId16"/>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19" name="TextBox 23">
            <a:hlinkClick r:id="rId17"/>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20" name="TextBox 25">
            <a:hlinkClick r:id="rId18"/>
          </xdr:cNvPr>
          <xdr:cNvSpPr txBox="1">
            <a:spLocks noChangeArrowheads="1"/>
          </xdr:cNvSpPr>
        </xdr:nvSpPr>
        <xdr:spPr>
          <a:xfrm>
            <a:off x="1847851" y="13230609"/>
            <a:ext cx="209550"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editAs="absolute">
    <xdr:from>
      <xdr:col>9</xdr:col>
      <xdr:colOff>552450</xdr:colOff>
      <xdr:row>11</xdr:row>
      <xdr:rowOff>171450</xdr:rowOff>
    </xdr:from>
    <xdr:to>
      <xdr:col>12</xdr:col>
      <xdr:colOff>638175</xdr:colOff>
      <xdr:row>16</xdr:row>
      <xdr:rowOff>9525</xdr:rowOff>
    </xdr:to>
    <xdr:grpSp>
      <xdr:nvGrpSpPr>
        <xdr:cNvPr id="21" name="Group 24">
          <a:hlinkClick r:id="rId19"/>
        </xdr:cNvPr>
        <xdr:cNvGrpSpPr>
          <a:grpSpLocks/>
        </xdr:cNvGrpSpPr>
      </xdr:nvGrpSpPr>
      <xdr:grpSpPr>
        <a:xfrm>
          <a:off x="6686550" y="2095500"/>
          <a:ext cx="1552575" cy="1028700"/>
          <a:chOff x="6777115" y="1327201"/>
          <a:chExt cx="1172349" cy="602207"/>
        </a:xfrm>
        <a:solidFill>
          <a:srgbClr val="FFFFFF"/>
        </a:solidFill>
      </xdr:grpSpPr>
      <xdr:sp>
        <xdr:nvSpPr>
          <xdr:cNvPr id="22" name="Rectangle 27"/>
          <xdr:cNvSpPr>
            <a:spLocks/>
          </xdr:cNvSpPr>
        </xdr:nvSpPr>
        <xdr:spPr>
          <a:xfrm>
            <a:off x="6877937" y="1327201"/>
            <a:ext cx="1071527" cy="585496"/>
          </a:xfrm>
          <a:prstGeom prst="rect">
            <a:avLst/>
          </a:prstGeom>
          <a:noFill/>
          <a:ln w="25400" cmpd="sng">
            <a:noFill/>
          </a:ln>
        </xdr:spPr>
        <xdr:txBody>
          <a:bodyPr vertOverflow="clip" wrap="square" anchor="ctr"/>
          <a:p>
            <a:pPr algn="l">
              <a:defRPr/>
            </a:pPr>
            <a:r>
              <a:rPr lang="en-US" cap="none" sz="1100" b="1" i="0" u="none" baseline="0">
                <a:solidFill>
                  <a:srgbClr val="FFFFFF"/>
                </a:solidFill>
              </a:rPr>
              <a:t>A utilização deste</a:t>
            </a:r>
            <a:r>
              <a:rPr lang="en-US" cap="none" sz="1100" b="1" i="0" u="none" baseline="0">
                <a:solidFill>
                  <a:srgbClr val="FFFFFF"/>
                </a:solidFill>
              </a:rPr>
              <a:t> simulador não dispensa a c</a:t>
            </a:r>
            <a:r>
              <a:rPr lang="en-US" cap="none" sz="1100" b="1" i="0" u="none" baseline="0">
                <a:solidFill>
                  <a:srgbClr val="FFFFFF"/>
                </a:solidFill>
              </a:rPr>
              <a:t>onsulta  do </a:t>
            </a:r>
            <a:r>
              <a:rPr lang="en-US" cap="none" sz="1100" b="1" i="1" u="none" baseline="0">
                <a:solidFill>
                  <a:srgbClr val="FFFFFF"/>
                </a:solidFill>
              </a:rPr>
              <a:t>disclaimer</a:t>
            </a:r>
          </a:p>
        </xdr:txBody>
      </xdr:sp>
      <xdr:sp>
        <xdr:nvSpPr>
          <xdr:cNvPr id="23" name="Rectangle 28"/>
          <xdr:cNvSpPr>
            <a:spLocks/>
          </xdr:cNvSpPr>
        </xdr:nvSpPr>
        <xdr:spPr>
          <a:xfrm>
            <a:off x="6777115" y="1907126"/>
            <a:ext cx="107856" cy="2228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8</xdr:col>
      <xdr:colOff>552450</xdr:colOff>
      <xdr:row>125</xdr:row>
      <xdr:rowOff>47625</xdr:rowOff>
    </xdr:from>
    <xdr:ext cx="1866900" cy="714375"/>
    <xdr:grpSp>
      <xdr:nvGrpSpPr>
        <xdr:cNvPr id="24" name="Group 29">
          <a:hlinkClick r:id="rId20"/>
        </xdr:cNvPr>
        <xdr:cNvGrpSpPr>
          <a:grpSpLocks/>
        </xdr:cNvGrpSpPr>
      </xdr:nvGrpSpPr>
      <xdr:grpSpPr>
        <a:xfrm>
          <a:off x="6010275" y="14039850"/>
          <a:ext cx="1866900" cy="714375"/>
          <a:chOff x="6777115" y="1515680"/>
          <a:chExt cx="1409695" cy="415765"/>
        </a:xfrm>
        <a:solidFill>
          <a:srgbClr val="FFFFFF"/>
        </a:solidFill>
      </xdr:grpSpPr>
      <xdr:sp>
        <xdr:nvSpPr>
          <xdr:cNvPr id="25" name="Rectangle 30"/>
          <xdr:cNvSpPr>
            <a:spLocks/>
          </xdr:cNvSpPr>
        </xdr:nvSpPr>
        <xdr:spPr>
          <a:xfrm>
            <a:off x="6877908" y="1515680"/>
            <a:ext cx="1308902" cy="399134"/>
          </a:xfrm>
          <a:prstGeom prst="rect">
            <a:avLst/>
          </a:prstGeom>
          <a:noFill/>
          <a:ln w="25400" cmpd="sng">
            <a:noFill/>
          </a:ln>
        </xdr:spPr>
        <xdr:txBody>
          <a:bodyPr vertOverflow="clip" wrap="square" anchor="ctr"/>
          <a:p>
            <a:pPr algn="l">
              <a:defRPr/>
            </a:pPr>
            <a:r>
              <a:rPr lang="en-US" cap="none" sz="1000" b="1" i="0" u="none" baseline="0">
                <a:solidFill>
                  <a:srgbClr val="FFFFFF"/>
                </a:solidFill>
              </a:rPr>
              <a:t>Compare o seu imposto</a:t>
            </a:r>
            <a:r>
              <a:rPr lang="en-US" cap="none" sz="1000" b="1" i="0" u="none" baseline="0">
                <a:solidFill>
                  <a:srgbClr val="FFFFFF"/>
                </a:solidFill>
              </a:rPr>
              <a:t> referente ao ano de 2012 com o de 2011</a:t>
            </a:r>
          </a:p>
        </xdr:txBody>
      </xdr:sp>
      <xdr:sp>
        <xdr:nvSpPr>
          <xdr:cNvPr id="26" name="Rectangle 31"/>
          <xdr:cNvSpPr>
            <a:spLocks/>
          </xdr:cNvSpPr>
        </xdr:nvSpPr>
        <xdr:spPr>
          <a:xfrm>
            <a:off x="6777115" y="1909306"/>
            <a:ext cx="107842" cy="22139"/>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11</xdr:col>
      <xdr:colOff>276225</xdr:colOff>
      <xdr:row>15</xdr:row>
      <xdr:rowOff>142875</xdr:rowOff>
    </xdr:from>
    <xdr:to>
      <xdr:col>13</xdr:col>
      <xdr:colOff>152400</xdr:colOff>
      <xdr:row>19</xdr:row>
      <xdr:rowOff>209550</xdr:rowOff>
    </xdr:to>
    <xdr:grpSp>
      <xdr:nvGrpSpPr>
        <xdr:cNvPr id="27" name="Group 35">
          <a:hlinkClick r:id="rId21"/>
        </xdr:cNvPr>
        <xdr:cNvGrpSpPr>
          <a:grpSpLocks/>
        </xdr:cNvGrpSpPr>
      </xdr:nvGrpSpPr>
      <xdr:grpSpPr>
        <a:xfrm>
          <a:off x="7391400" y="3028950"/>
          <a:ext cx="1095375" cy="723900"/>
          <a:chOff x="6762750" y="1052225"/>
          <a:chExt cx="1253450" cy="892465"/>
        </a:xfrm>
        <a:solidFill>
          <a:srgbClr val="FFFFFF"/>
        </a:solidFill>
      </xdr:grpSpPr>
      <xdr:sp>
        <xdr:nvSpPr>
          <xdr:cNvPr id="28" name="Rectangle 36">
            <a:hlinkClick r:id="rId22"/>
          </xdr:cNvPr>
          <xdr:cNvSpPr>
            <a:spLocks/>
          </xdr:cNvSpPr>
        </xdr:nvSpPr>
        <xdr:spPr>
          <a:xfrm>
            <a:off x="6871800" y="1052225"/>
            <a:ext cx="1144400" cy="869038"/>
          </a:xfrm>
          <a:prstGeom prst="rect">
            <a:avLst/>
          </a:prstGeom>
          <a:noFill/>
          <a:ln w="25400" cmpd="sng">
            <a:noFill/>
          </a:ln>
        </xdr:spPr>
        <xdr:txBody>
          <a:bodyPr vertOverflow="clip" wrap="square" anchor="ctr"/>
          <a:p>
            <a:pPr algn="l">
              <a:defRPr/>
            </a:pPr>
            <a:r>
              <a:rPr lang="en-US" cap="none" sz="1000" b="1" i="0" u="none" baseline="0">
                <a:solidFill>
                  <a:srgbClr val="FFFFFF"/>
                </a:solidFill>
              </a:rPr>
              <a:t>Despesas</a:t>
            </a:r>
            <a:r>
              <a:rPr lang="en-US" cap="none" sz="1000" b="1" i="0" u="none" baseline="0">
                <a:solidFill>
                  <a:srgbClr val="FFFFFF"/>
                </a:solidFill>
              </a:rPr>
              <a:t> dedutíveis - Limites para 2012 </a:t>
            </a:r>
          </a:p>
        </xdr:txBody>
      </xdr:sp>
      <xdr:sp>
        <xdr:nvSpPr>
          <xdr:cNvPr id="29" name="Rectangle 37"/>
          <xdr:cNvSpPr>
            <a:spLocks/>
          </xdr:cNvSpPr>
        </xdr:nvSpPr>
        <xdr:spPr>
          <a:xfrm>
            <a:off x="6762750" y="1909438"/>
            <a:ext cx="130672" cy="3525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161925</xdr:colOff>
      <xdr:row>91</xdr:row>
      <xdr:rowOff>85725</xdr:rowOff>
    </xdr:from>
    <xdr:to>
      <xdr:col>5</xdr:col>
      <xdr:colOff>123825</xdr:colOff>
      <xdr:row>119</xdr:row>
      <xdr:rowOff>38100</xdr:rowOff>
    </xdr:to>
    <xdr:grpSp>
      <xdr:nvGrpSpPr>
        <xdr:cNvPr id="30" name="Group 13"/>
        <xdr:cNvGrpSpPr>
          <a:grpSpLocks/>
        </xdr:cNvGrpSpPr>
      </xdr:nvGrpSpPr>
      <xdr:grpSpPr>
        <a:xfrm>
          <a:off x="1876425" y="13230225"/>
          <a:ext cx="333375" cy="0"/>
          <a:chOff x="2533649" y="8667749"/>
          <a:chExt cx="200025" cy="3580726"/>
        </a:xfrm>
        <a:solidFill>
          <a:srgbClr val="FFFFFF"/>
        </a:solidFill>
      </xdr:grpSpPr>
      <xdr:sp>
        <xdr:nvSpPr>
          <xdr:cNvPr id="31" name="TextBox 44">
            <a:hlinkClick r:id="rId23"/>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2" name="TextBox 45">
            <a:hlinkClick r:id="rId24"/>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3" name="TextBox 46">
            <a:hlinkClick r:id="rId25"/>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4" name="TextBox 47">
            <a:hlinkClick r:id="rId26"/>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5" name="TextBox 48">
            <a:hlinkClick r:id="rId27"/>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6" name="TextBox 52">
            <a:hlinkClick r:id="rId28"/>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7" name="TextBox 53">
            <a:hlinkClick r:id="rId29"/>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8" name="TextBox 54">
            <a:hlinkClick r:id="rId30"/>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39" name="TextBox 55">
            <a:hlinkClick r:id="rId31"/>
          </xdr:cNvPr>
          <xdr:cNvSpPr txBox="1">
            <a:spLocks noChangeArrowheads="1"/>
          </xdr:cNvSpPr>
        </xdr:nvSpPr>
        <xdr:spPr>
          <a:xfrm>
            <a:off x="1931889088" y="13230489"/>
            <a:ext cx="200025" cy="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xdr:from>
      <xdr:col>4</xdr:col>
      <xdr:colOff>171450</xdr:colOff>
      <xdr:row>61</xdr:row>
      <xdr:rowOff>104775</xdr:rowOff>
    </xdr:from>
    <xdr:to>
      <xdr:col>5</xdr:col>
      <xdr:colOff>133350</xdr:colOff>
      <xdr:row>89</xdr:row>
      <xdr:rowOff>66675</xdr:rowOff>
    </xdr:to>
    <xdr:grpSp>
      <xdr:nvGrpSpPr>
        <xdr:cNvPr id="40" name="Group 13"/>
        <xdr:cNvGrpSpPr>
          <a:grpSpLocks/>
        </xdr:cNvGrpSpPr>
      </xdr:nvGrpSpPr>
      <xdr:grpSpPr>
        <a:xfrm>
          <a:off x="1885950" y="9810750"/>
          <a:ext cx="333375" cy="3362325"/>
          <a:chOff x="2533649" y="8667749"/>
          <a:chExt cx="200025" cy="3601131"/>
        </a:xfrm>
        <a:solidFill>
          <a:srgbClr val="FFFFFF"/>
        </a:solidFill>
      </xdr:grpSpPr>
      <xdr:sp>
        <xdr:nvSpPr>
          <xdr:cNvPr id="41" name="TextBox 70">
            <a:hlinkClick r:id="rId32"/>
          </xdr:cNvPr>
          <xdr:cNvSpPr txBox="1">
            <a:spLocks noChangeArrowheads="1"/>
          </xdr:cNvSpPr>
        </xdr:nvSpPr>
        <xdr:spPr>
          <a:xfrm>
            <a:off x="2533649" y="8667749"/>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2" name="TextBox 71">
            <a:hlinkClick r:id="rId33"/>
          </xdr:cNvPr>
          <xdr:cNvSpPr txBox="1">
            <a:spLocks noChangeArrowheads="1"/>
          </xdr:cNvSpPr>
        </xdr:nvSpPr>
        <xdr:spPr>
          <a:xfrm>
            <a:off x="2533649" y="8933332"/>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3" name="TextBox 72">
            <a:hlinkClick r:id="rId34"/>
          </xdr:cNvPr>
          <xdr:cNvSpPr txBox="1">
            <a:spLocks noChangeArrowheads="1"/>
          </xdr:cNvSpPr>
        </xdr:nvSpPr>
        <xdr:spPr>
          <a:xfrm>
            <a:off x="2533649" y="9432989"/>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4" name="TextBox 73">
            <a:hlinkClick r:id="rId35"/>
          </xdr:cNvPr>
          <xdr:cNvSpPr txBox="1">
            <a:spLocks noChangeArrowheads="1"/>
          </xdr:cNvSpPr>
        </xdr:nvSpPr>
        <xdr:spPr>
          <a:xfrm>
            <a:off x="2533649" y="10137010"/>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5" name="TextBox 74">
            <a:hlinkClick r:id="rId36"/>
          </xdr:cNvPr>
          <xdr:cNvSpPr txBox="1">
            <a:spLocks noChangeArrowheads="1"/>
          </xdr:cNvSpPr>
        </xdr:nvSpPr>
        <xdr:spPr>
          <a:xfrm>
            <a:off x="2533649" y="10391790"/>
            <a:ext cx="200025" cy="25478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6" name="TextBox 75">
            <a:hlinkClick r:id="rId37"/>
          </xdr:cNvPr>
          <xdr:cNvSpPr txBox="1">
            <a:spLocks noChangeArrowheads="1"/>
          </xdr:cNvSpPr>
        </xdr:nvSpPr>
        <xdr:spPr>
          <a:xfrm>
            <a:off x="2533649" y="10902251"/>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7" name="TextBox 76">
            <a:hlinkClick r:id="rId38"/>
          </xdr:cNvPr>
          <xdr:cNvSpPr txBox="1">
            <a:spLocks noChangeArrowheads="1"/>
          </xdr:cNvSpPr>
        </xdr:nvSpPr>
        <xdr:spPr>
          <a:xfrm>
            <a:off x="2533649" y="11748517"/>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8" name="TextBox 77">
            <a:hlinkClick r:id="rId39"/>
          </xdr:cNvPr>
          <xdr:cNvSpPr txBox="1">
            <a:spLocks noChangeArrowheads="1"/>
          </xdr:cNvSpPr>
        </xdr:nvSpPr>
        <xdr:spPr>
          <a:xfrm>
            <a:off x="2533649" y="11473030"/>
            <a:ext cx="200025" cy="254780"/>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sp>
        <xdr:nvSpPr>
          <xdr:cNvPr id="49" name="TextBox 78">
            <a:hlinkClick r:id="rId40"/>
          </xdr:cNvPr>
          <xdr:cNvSpPr txBox="1">
            <a:spLocks noChangeArrowheads="1"/>
          </xdr:cNvSpPr>
        </xdr:nvSpPr>
        <xdr:spPr>
          <a:xfrm>
            <a:off x="2533649" y="12024003"/>
            <a:ext cx="200025" cy="244877"/>
          </a:xfrm>
          <a:prstGeom prst="rect">
            <a:avLst/>
          </a:prstGeom>
          <a:noFill/>
          <a:ln w="9525" cmpd="sng">
            <a:noFill/>
          </a:ln>
        </xdr:spPr>
        <xdr:txBody>
          <a:bodyPr vertOverflow="clip" wrap="square" lIns="0" tIns="0" rIns="0" bIns="0"/>
          <a:p>
            <a:pPr algn="l">
              <a:defRPr/>
            </a:pPr>
            <a:r>
              <a:rPr lang="en-US" cap="none" sz="1400" b="0" i="0" u="none" baseline="0">
                <a:solidFill>
                  <a:srgbClr val="993300"/>
                </a:solidFill>
              </a:rPr>
              <a:t></a:t>
            </a:r>
          </a:p>
        </xdr:txBody>
      </xdr:sp>
    </xdr:grpSp>
    <xdr:clientData fLocksWithSheet="0"/>
  </xdr:twoCellAnchor>
  <xdr:twoCellAnchor editAs="absolute">
    <xdr:from>
      <xdr:col>11</xdr:col>
      <xdr:colOff>285750</xdr:colOff>
      <xdr:row>0</xdr:row>
      <xdr:rowOff>57150</xdr:rowOff>
    </xdr:from>
    <xdr:to>
      <xdr:col>13</xdr:col>
      <xdr:colOff>409575</xdr:colOff>
      <xdr:row>4</xdr:row>
      <xdr:rowOff>104775</xdr:rowOff>
    </xdr:to>
    <xdr:grpSp>
      <xdr:nvGrpSpPr>
        <xdr:cNvPr id="50" name="Group 80">
          <a:hlinkClick r:id="rId41"/>
        </xdr:cNvPr>
        <xdr:cNvGrpSpPr>
          <a:grpSpLocks/>
        </xdr:cNvGrpSpPr>
      </xdr:nvGrpSpPr>
      <xdr:grpSpPr>
        <a:xfrm>
          <a:off x="7400925" y="57150"/>
          <a:ext cx="1343025" cy="695325"/>
          <a:chOff x="7400925" y="57150"/>
          <a:chExt cx="1339851" cy="691068"/>
        </a:xfrm>
        <a:solidFill>
          <a:srgbClr val="FFFFFF"/>
        </a:solidFill>
      </xdr:grpSpPr>
      <xdr:sp>
        <xdr:nvSpPr>
          <xdr:cNvPr id="51" name="Rectangle 67"/>
          <xdr:cNvSpPr>
            <a:spLocks/>
          </xdr:cNvSpPr>
        </xdr:nvSpPr>
        <xdr:spPr>
          <a:xfrm>
            <a:off x="7514812" y="57150"/>
            <a:ext cx="1225964" cy="662734"/>
          </a:xfrm>
          <a:prstGeom prst="rect">
            <a:avLst/>
          </a:prstGeom>
          <a:solidFill>
            <a:srgbClr val="E46C0A"/>
          </a:solidFill>
          <a:ln w="25400" cmpd="sng">
            <a:noFill/>
          </a:ln>
        </xdr:spPr>
        <xdr:txBody>
          <a:bodyPr vertOverflow="clip" wrap="square" anchor="ctr"/>
          <a:p>
            <a:pPr algn="l">
              <a:defRPr/>
            </a:pPr>
            <a:r>
              <a:rPr lang="en-US" cap="none" sz="1200" b="1" i="0" u="none" baseline="0">
                <a:solidFill>
                  <a:srgbClr val="FFFFFF"/>
                </a:solidFill>
              </a:rPr>
              <a:t>Ajuda na execução das macros</a:t>
            </a:r>
          </a:p>
        </xdr:txBody>
      </xdr:sp>
      <xdr:sp>
        <xdr:nvSpPr>
          <xdr:cNvPr id="52" name="Rectangle 68"/>
          <xdr:cNvSpPr>
            <a:spLocks/>
          </xdr:cNvSpPr>
        </xdr:nvSpPr>
        <xdr:spPr>
          <a:xfrm>
            <a:off x="7400925" y="719884"/>
            <a:ext cx="132980" cy="28334"/>
          </a:xfrm>
          <a:prstGeom prst="rect">
            <a:avLst/>
          </a:prstGeom>
          <a:solidFill>
            <a:srgbClr val="E46C0A"/>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238125</xdr:colOff>
      <xdr:row>21</xdr:row>
      <xdr:rowOff>28575</xdr:rowOff>
    </xdr:from>
    <xdr:to>
      <xdr:col>9</xdr:col>
      <xdr:colOff>66675</xdr:colOff>
      <xdr:row>21</xdr:row>
      <xdr:rowOff>247650</xdr:rowOff>
    </xdr:to>
    <xdr:pic>
      <xdr:nvPicPr>
        <xdr:cNvPr id="53" name="ComboBox1"/>
        <xdr:cNvPicPr preferRelativeResize="1">
          <a:picLocks noChangeAspect="1"/>
        </xdr:cNvPicPr>
      </xdr:nvPicPr>
      <xdr:blipFill>
        <a:blip r:embed="rId42"/>
        <a:stretch>
          <a:fillRect/>
        </a:stretch>
      </xdr:blipFill>
      <xdr:spPr>
        <a:xfrm>
          <a:off x="5695950" y="3943350"/>
          <a:ext cx="504825" cy="219075"/>
        </a:xfrm>
        <a:prstGeom prst="rect">
          <a:avLst/>
        </a:prstGeom>
        <a:noFill/>
        <a:ln w="9525" cmpd="sng">
          <a:noFill/>
        </a:ln>
      </xdr:spPr>
    </xdr:pic>
    <xdr:clientData fLocksWithSheet="0"/>
  </xdr:twoCellAnchor>
  <xdr:twoCellAnchor editAs="oneCell">
    <xdr:from>
      <xdr:col>5</xdr:col>
      <xdr:colOff>809625</xdr:colOff>
      <xdr:row>12</xdr:row>
      <xdr:rowOff>76200</xdr:rowOff>
    </xdr:from>
    <xdr:to>
      <xdr:col>6</xdr:col>
      <xdr:colOff>1095375</xdr:colOff>
      <xdr:row>12</xdr:row>
      <xdr:rowOff>295275</xdr:rowOff>
    </xdr:to>
    <xdr:pic>
      <xdr:nvPicPr>
        <xdr:cNvPr id="54" name="ComboBox5"/>
        <xdr:cNvPicPr preferRelativeResize="1">
          <a:picLocks noChangeAspect="1"/>
        </xdr:cNvPicPr>
      </xdr:nvPicPr>
      <xdr:blipFill>
        <a:blip r:embed="rId43"/>
        <a:stretch>
          <a:fillRect/>
        </a:stretch>
      </xdr:blipFill>
      <xdr:spPr>
        <a:xfrm>
          <a:off x="2895600" y="2228850"/>
          <a:ext cx="1666875" cy="219075"/>
        </a:xfrm>
        <a:prstGeom prst="rect">
          <a:avLst/>
        </a:prstGeom>
        <a:noFill/>
        <a:ln w="9525" cmpd="sng">
          <a:noFill/>
        </a:ln>
      </xdr:spPr>
    </xdr:pic>
    <xdr:clientData fLocksWithSheet="0"/>
  </xdr:twoCellAnchor>
  <xdr:twoCellAnchor editAs="oneCell">
    <xdr:from>
      <xdr:col>5</xdr:col>
      <xdr:colOff>809625</xdr:colOff>
      <xdr:row>13</xdr:row>
      <xdr:rowOff>76200</xdr:rowOff>
    </xdr:from>
    <xdr:to>
      <xdr:col>6</xdr:col>
      <xdr:colOff>590550</xdr:colOff>
      <xdr:row>13</xdr:row>
      <xdr:rowOff>295275</xdr:rowOff>
    </xdr:to>
    <xdr:pic>
      <xdr:nvPicPr>
        <xdr:cNvPr id="55" name="ComboBox6"/>
        <xdr:cNvPicPr preferRelativeResize="1">
          <a:picLocks noChangeAspect="1"/>
        </xdr:cNvPicPr>
      </xdr:nvPicPr>
      <xdr:blipFill>
        <a:blip r:embed="rId44"/>
        <a:stretch>
          <a:fillRect/>
        </a:stretch>
      </xdr:blipFill>
      <xdr:spPr>
        <a:xfrm>
          <a:off x="2895600" y="2543175"/>
          <a:ext cx="1162050" cy="219075"/>
        </a:xfrm>
        <a:prstGeom prst="rect">
          <a:avLst/>
        </a:prstGeom>
        <a:noFill/>
        <a:ln w="9525" cmpd="sng">
          <a:noFill/>
        </a:ln>
      </xdr:spPr>
    </xdr:pic>
    <xdr:clientData fLocksWithSheet="0"/>
  </xdr:twoCellAnchor>
  <xdr:twoCellAnchor editAs="oneCell">
    <xdr:from>
      <xdr:col>4</xdr:col>
      <xdr:colOff>47625</xdr:colOff>
      <xdr:row>125</xdr:row>
      <xdr:rowOff>180975</xdr:rowOff>
    </xdr:from>
    <xdr:to>
      <xdr:col>5</xdr:col>
      <xdr:colOff>657225</xdr:colOff>
      <xdr:row>126</xdr:row>
      <xdr:rowOff>104775</xdr:rowOff>
    </xdr:to>
    <xdr:pic>
      <xdr:nvPicPr>
        <xdr:cNvPr id="56" name="Image1"/>
        <xdr:cNvPicPr preferRelativeResize="1">
          <a:picLocks noChangeAspect="1"/>
        </xdr:cNvPicPr>
      </xdr:nvPicPr>
      <xdr:blipFill>
        <a:blip r:embed="rId45"/>
        <a:stretch>
          <a:fillRect/>
        </a:stretch>
      </xdr:blipFill>
      <xdr:spPr>
        <a:xfrm>
          <a:off x="1762125" y="14173200"/>
          <a:ext cx="981075" cy="762000"/>
        </a:xfrm>
        <a:prstGeom prst="rect">
          <a:avLst/>
        </a:prstGeom>
        <a:noFill/>
        <a:ln w="9525" cmpd="sng">
          <a:noFill/>
        </a:ln>
      </xdr:spPr>
    </xdr:pic>
    <xdr:clientData fLocksWithSheet="0"/>
  </xdr:twoCellAnchor>
  <xdr:twoCellAnchor editAs="oneCell">
    <xdr:from>
      <xdr:col>8</xdr:col>
      <xdr:colOff>238125</xdr:colOff>
      <xdr:row>19</xdr:row>
      <xdr:rowOff>57150</xdr:rowOff>
    </xdr:from>
    <xdr:to>
      <xdr:col>9</xdr:col>
      <xdr:colOff>66675</xdr:colOff>
      <xdr:row>19</xdr:row>
      <xdr:rowOff>276225</xdr:rowOff>
    </xdr:to>
    <xdr:pic>
      <xdr:nvPicPr>
        <xdr:cNvPr id="57" name="ComboBox2"/>
        <xdr:cNvPicPr preferRelativeResize="1">
          <a:picLocks noChangeAspect="1"/>
        </xdr:cNvPicPr>
      </xdr:nvPicPr>
      <xdr:blipFill>
        <a:blip r:embed="rId42"/>
        <a:stretch>
          <a:fillRect/>
        </a:stretch>
      </xdr:blipFill>
      <xdr:spPr>
        <a:xfrm>
          <a:off x="5695950" y="3600450"/>
          <a:ext cx="504825" cy="219075"/>
        </a:xfrm>
        <a:prstGeom prst="rect">
          <a:avLst/>
        </a:prstGeom>
        <a:noFill/>
        <a:ln w="9525" cmpd="sng">
          <a:noFill/>
        </a:ln>
      </xdr:spPr>
    </xdr:pic>
    <xdr:clientData fLocksWithSheet="0"/>
  </xdr:twoCellAnchor>
  <xdr:twoCellAnchor editAs="oneCell">
    <xdr:from>
      <xdr:col>6</xdr:col>
      <xdr:colOff>152400</xdr:colOff>
      <xdr:row>125</xdr:row>
      <xdr:rowOff>695325</xdr:rowOff>
    </xdr:from>
    <xdr:to>
      <xdr:col>6</xdr:col>
      <xdr:colOff>1209675</xdr:colOff>
      <xdr:row>126</xdr:row>
      <xdr:rowOff>152400</xdr:rowOff>
    </xdr:to>
    <xdr:pic>
      <xdr:nvPicPr>
        <xdr:cNvPr id="58" name="CommandButton1"/>
        <xdr:cNvPicPr preferRelativeResize="1">
          <a:picLocks noChangeAspect="1"/>
        </xdr:cNvPicPr>
      </xdr:nvPicPr>
      <xdr:blipFill>
        <a:blip r:embed="rId46"/>
        <a:stretch>
          <a:fillRect/>
        </a:stretch>
      </xdr:blipFill>
      <xdr:spPr>
        <a:xfrm>
          <a:off x="3619500" y="14687550"/>
          <a:ext cx="1057275" cy="295275"/>
        </a:xfrm>
        <a:prstGeom prst="rect">
          <a:avLst/>
        </a:prstGeom>
        <a:noFill/>
        <a:ln w="9525" cmpd="sng">
          <a:noFill/>
        </a:ln>
      </xdr:spPr>
    </xdr:pic>
    <xdr:clientData/>
  </xdr:twoCellAnchor>
  <xdr:twoCellAnchor editAs="oneCell">
    <xdr:from>
      <xdr:col>1</xdr:col>
      <xdr:colOff>66675</xdr:colOff>
      <xdr:row>0</xdr:row>
      <xdr:rowOff>57150</xdr:rowOff>
    </xdr:from>
    <xdr:to>
      <xdr:col>3</xdr:col>
      <xdr:colOff>419100</xdr:colOff>
      <xdr:row>4</xdr:row>
      <xdr:rowOff>133350</xdr:rowOff>
    </xdr:to>
    <xdr:pic>
      <xdr:nvPicPr>
        <xdr:cNvPr id="59" name="Image2"/>
        <xdr:cNvPicPr preferRelativeResize="1">
          <a:picLocks noChangeAspect="1"/>
        </xdr:cNvPicPr>
      </xdr:nvPicPr>
      <xdr:blipFill>
        <a:blip r:embed="rId47"/>
        <a:stretch>
          <a:fillRect/>
        </a:stretch>
      </xdr:blipFill>
      <xdr:spPr>
        <a:xfrm>
          <a:off x="571500" y="57150"/>
          <a:ext cx="876300" cy="723900"/>
        </a:xfrm>
        <a:prstGeom prst="rect">
          <a:avLst/>
        </a:prstGeom>
        <a:noFill/>
        <a:ln w="9525" cmpd="sng">
          <a:noFill/>
        </a:ln>
      </xdr:spPr>
    </xdr:pic>
    <xdr:clientData fLocksWithSheet="0"/>
  </xdr:twoCellAnchor>
  <xdr:twoCellAnchor editAs="oneCell">
    <xdr:from>
      <xdr:col>7</xdr:col>
      <xdr:colOff>161925</xdr:colOff>
      <xdr:row>17</xdr:row>
      <xdr:rowOff>47625</xdr:rowOff>
    </xdr:from>
    <xdr:to>
      <xdr:col>9</xdr:col>
      <xdr:colOff>190500</xdr:colOff>
      <xdr:row>18</xdr:row>
      <xdr:rowOff>38100</xdr:rowOff>
    </xdr:to>
    <xdr:pic>
      <xdr:nvPicPr>
        <xdr:cNvPr id="60" name="ComboBox3"/>
        <xdr:cNvPicPr preferRelativeResize="1">
          <a:picLocks noChangeAspect="1"/>
        </xdr:cNvPicPr>
      </xdr:nvPicPr>
      <xdr:blipFill>
        <a:blip r:embed="rId48"/>
        <a:stretch>
          <a:fillRect/>
        </a:stretch>
      </xdr:blipFill>
      <xdr:spPr>
        <a:xfrm>
          <a:off x="5153025" y="3248025"/>
          <a:ext cx="1171575" cy="219075"/>
        </a:xfrm>
        <a:prstGeom prst="rect">
          <a:avLst/>
        </a:prstGeom>
        <a:noFill/>
        <a:ln w="9525" cmpd="sng">
          <a:noFill/>
        </a:ln>
      </xdr:spPr>
    </xdr:pic>
    <xdr:clientData/>
  </xdr:twoCellAnchor>
  <xdr:twoCellAnchor editAs="oneCell">
    <xdr:from>
      <xdr:col>7</xdr:col>
      <xdr:colOff>161925</xdr:colOff>
      <xdr:row>15</xdr:row>
      <xdr:rowOff>47625</xdr:rowOff>
    </xdr:from>
    <xdr:to>
      <xdr:col>9</xdr:col>
      <xdr:colOff>190500</xdr:colOff>
      <xdr:row>16</xdr:row>
      <xdr:rowOff>38100</xdr:rowOff>
    </xdr:to>
    <xdr:pic>
      <xdr:nvPicPr>
        <xdr:cNvPr id="61" name="ComboBox4"/>
        <xdr:cNvPicPr preferRelativeResize="1">
          <a:picLocks noChangeAspect="1"/>
        </xdr:cNvPicPr>
      </xdr:nvPicPr>
      <xdr:blipFill>
        <a:blip r:embed="rId48"/>
        <a:stretch>
          <a:fillRect/>
        </a:stretch>
      </xdr:blipFill>
      <xdr:spPr>
        <a:xfrm>
          <a:off x="5153025" y="2933700"/>
          <a:ext cx="1171575" cy="219075"/>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400050</xdr:colOff>
      <xdr:row>57</xdr:row>
      <xdr:rowOff>171450</xdr:rowOff>
    </xdr:from>
    <xdr:ext cx="1552575" cy="1038225"/>
    <xdr:grpSp>
      <xdr:nvGrpSpPr>
        <xdr:cNvPr id="1" name="Group 2"/>
        <xdr:cNvGrpSpPr>
          <a:grpSpLocks/>
        </xdr:cNvGrpSpPr>
      </xdr:nvGrpSpPr>
      <xdr:grpSpPr>
        <a:xfrm>
          <a:off x="5086350" y="5286375"/>
          <a:ext cx="1552575" cy="1038225"/>
          <a:chOff x="6777115" y="1327201"/>
          <a:chExt cx="1172350" cy="604247"/>
        </a:xfrm>
        <a:solidFill>
          <a:srgbClr val="FFFFFF"/>
        </a:solidFill>
      </xdr:grpSpPr>
      <xdr:sp>
        <xdr:nvSpPr>
          <xdr:cNvPr id="2" name="Rectangle 3">
            <a:hlinkClick r:id="rId1"/>
          </xdr:cNvPr>
          <xdr:cNvSpPr>
            <a:spLocks/>
          </xdr:cNvSpPr>
        </xdr:nvSpPr>
        <xdr:spPr>
          <a:xfrm>
            <a:off x="6877937" y="1327201"/>
            <a:ext cx="1071528" cy="587630"/>
          </a:xfrm>
          <a:prstGeom prst="rect">
            <a:avLst/>
          </a:prstGeom>
          <a:noFill/>
          <a:ln w="25400" cmpd="sng">
            <a:noFill/>
          </a:ln>
        </xdr:spPr>
        <xdr:txBody>
          <a:bodyPr vertOverflow="clip" wrap="square" anchor="ctr"/>
          <a:p>
            <a:pPr algn="l">
              <a:defRPr/>
            </a:pPr>
            <a:r>
              <a:rPr lang="en-US" cap="none" sz="1100" b="1" i="0" u="none" baseline="0">
                <a:solidFill>
                  <a:srgbClr val="FFFFFF"/>
                </a:solidFill>
              </a:rPr>
              <a:t>O essencial</a:t>
            </a:r>
            <a:r>
              <a:rPr lang="en-US" cap="none" sz="1100" b="1" i="0" u="none" baseline="0">
                <a:solidFill>
                  <a:srgbClr val="FFFFFF"/>
                </a:solidFill>
              </a:rPr>
              <a:t> do Orçamento do Estado para 2012</a:t>
            </a:r>
          </a:p>
        </xdr:txBody>
      </xdr:sp>
      <xdr:sp>
        <xdr:nvSpPr>
          <xdr:cNvPr id="3" name="Rectangle 4"/>
          <xdr:cNvSpPr>
            <a:spLocks/>
          </xdr:cNvSpPr>
        </xdr:nvSpPr>
        <xdr:spPr>
          <a:xfrm>
            <a:off x="6777115" y="1909242"/>
            <a:ext cx="107856" cy="2220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5</xdr:col>
      <xdr:colOff>266700</xdr:colOff>
      <xdr:row>57</xdr:row>
      <xdr:rowOff>1019175</xdr:rowOff>
    </xdr:from>
    <xdr:ext cx="1533525" cy="552450"/>
    <xdr:grpSp>
      <xdr:nvGrpSpPr>
        <xdr:cNvPr id="4" name="Group 5"/>
        <xdr:cNvGrpSpPr>
          <a:grpSpLocks/>
        </xdr:cNvGrpSpPr>
      </xdr:nvGrpSpPr>
      <xdr:grpSpPr>
        <a:xfrm>
          <a:off x="6410325" y="6134100"/>
          <a:ext cx="1533525" cy="552450"/>
          <a:chOff x="6777115" y="1609922"/>
          <a:chExt cx="1157966" cy="321525"/>
        </a:xfrm>
        <a:solidFill>
          <a:srgbClr val="FFFFFF"/>
        </a:solidFill>
      </xdr:grpSpPr>
      <xdr:sp>
        <xdr:nvSpPr>
          <xdr:cNvPr id="5" name="Rectangle 6">
            <a:hlinkClick r:id="rId2"/>
          </xdr:cNvPr>
          <xdr:cNvSpPr>
            <a:spLocks/>
          </xdr:cNvSpPr>
        </xdr:nvSpPr>
        <xdr:spPr>
          <a:xfrm>
            <a:off x="6877858" y="1609922"/>
            <a:ext cx="1057223" cy="304886"/>
          </a:xfrm>
          <a:prstGeom prst="rect">
            <a:avLst/>
          </a:prstGeom>
          <a:noFill/>
          <a:ln w="25400" cmpd="sng">
            <a:noFill/>
          </a:ln>
        </xdr:spPr>
        <xdr:txBody>
          <a:bodyPr vertOverflow="clip" wrap="square" anchor="ctr"/>
          <a:p>
            <a:pPr algn="l">
              <a:defRPr/>
            </a:pPr>
            <a:r>
              <a:rPr lang="en-US" cap="none" sz="1000" b="1" i="0" u="none" baseline="0">
                <a:solidFill>
                  <a:srgbClr val="FFFFFF"/>
                </a:solidFill>
              </a:rPr>
              <a:t>www.pwc.com/pt</a:t>
            </a:r>
          </a:p>
        </xdr:txBody>
      </xdr:sp>
      <xdr:sp>
        <xdr:nvSpPr>
          <xdr:cNvPr id="6" name="Rectangle 7"/>
          <xdr:cNvSpPr>
            <a:spLocks/>
          </xdr:cNvSpPr>
        </xdr:nvSpPr>
        <xdr:spPr>
          <a:xfrm>
            <a:off x="6777115" y="1909262"/>
            <a:ext cx="107980" cy="2218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6</xdr:col>
      <xdr:colOff>19050</xdr:colOff>
      <xdr:row>0</xdr:row>
      <xdr:rowOff>123825</xdr:rowOff>
    </xdr:from>
    <xdr:to>
      <xdr:col>7</xdr:col>
      <xdr:colOff>666750</xdr:colOff>
      <xdr:row>4</xdr:row>
      <xdr:rowOff>85725</xdr:rowOff>
    </xdr:to>
    <xdr:grpSp>
      <xdr:nvGrpSpPr>
        <xdr:cNvPr id="7" name="Group 8"/>
        <xdr:cNvGrpSpPr>
          <a:grpSpLocks/>
        </xdr:cNvGrpSpPr>
      </xdr:nvGrpSpPr>
      <xdr:grpSpPr>
        <a:xfrm>
          <a:off x="7400925" y="123825"/>
          <a:ext cx="923925" cy="514350"/>
          <a:chOff x="6762750" y="1310569"/>
          <a:chExt cx="1057277" cy="634120"/>
        </a:xfrm>
        <a:solidFill>
          <a:srgbClr val="FFFFFF"/>
        </a:solidFill>
      </xdr:grpSpPr>
      <xdr:sp>
        <xdr:nvSpPr>
          <xdr:cNvPr id="8" name="Rectangle 9">
            <a:hlinkClick r:id="rId3"/>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9" name="Rectangle 10"/>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676275</xdr:colOff>
      <xdr:row>11</xdr:row>
      <xdr:rowOff>57150</xdr:rowOff>
    </xdr:from>
    <xdr:to>
      <xdr:col>2</xdr:col>
      <xdr:colOff>114300</xdr:colOff>
      <xdr:row>11</xdr:row>
      <xdr:rowOff>133350</xdr:rowOff>
    </xdr:to>
    <xdr:pic>
      <xdr:nvPicPr>
        <xdr:cNvPr id="10" name="ToggleButton1"/>
        <xdr:cNvPicPr preferRelativeResize="1">
          <a:picLocks noChangeAspect="1"/>
        </xdr:cNvPicPr>
      </xdr:nvPicPr>
      <xdr:blipFill>
        <a:blip r:embed="rId4"/>
        <a:stretch>
          <a:fillRect/>
        </a:stretch>
      </xdr:blipFill>
      <xdr:spPr>
        <a:xfrm>
          <a:off x="923925" y="2590800"/>
          <a:ext cx="123825" cy="76200"/>
        </a:xfrm>
        <a:prstGeom prst="rect">
          <a:avLst/>
        </a:prstGeom>
        <a:noFill/>
        <a:ln w="9525" cmpd="sng">
          <a:noFill/>
        </a:ln>
      </xdr:spPr>
    </xdr:pic>
    <xdr:clientData/>
  </xdr:twoCellAnchor>
  <xdr:twoCellAnchor editAs="oneCell">
    <xdr:from>
      <xdr:col>1</xdr:col>
      <xdr:colOff>676275</xdr:colOff>
      <xdr:row>16</xdr:row>
      <xdr:rowOff>85725</xdr:rowOff>
    </xdr:from>
    <xdr:to>
      <xdr:col>2</xdr:col>
      <xdr:colOff>114300</xdr:colOff>
      <xdr:row>16</xdr:row>
      <xdr:rowOff>161925</xdr:rowOff>
    </xdr:to>
    <xdr:pic>
      <xdr:nvPicPr>
        <xdr:cNvPr id="11" name="ToggleButton2"/>
        <xdr:cNvPicPr preferRelativeResize="1">
          <a:picLocks noChangeAspect="1"/>
        </xdr:cNvPicPr>
      </xdr:nvPicPr>
      <xdr:blipFill>
        <a:blip r:embed="rId5"/>
        <a:stretch>
          <a:fillRect/>
        </a:stretch>
      </xdr:blipFill>
      <xdr:spPr>
        <a:xfrm>
          <a:off x="923925" y="2800350"/>
          <a:ext cx="123825" cy="76200"/>
        </a:xfrm>
        <a:prstGeom prst="rect">
          <a:avLst/>
        </a:prstGeom>
        <a:noFill/>
        <a:ln w="9525" cmpd="sng">
          <a:noFill/>
        </a:ln>
      </xdr:spPr>
    </xdr:pic>
    <xdr:clientData/>
  </xdr:twoCellAnchor>
  <xdr:twoCellAnchor editAs="oneCell">
    <xdr:from>
      <xdr:col>1</xdr:col>
      <xdr:colOff>676275</xdr:colOff>
      <xdr:row>25</xdr:row>
      <xdr:rowOff>66675</xdr:rowOff>
    </xdr:from>
    <xdr:to>
      <xdr:col>2</xdr:col>
      <xdr:colOff>114300</xdr:colOff>
      <xdr:row>25</xdr:row>
      <xdr:rowOff>142875</xdr:rowOff>
    </xdr:to>
    <xdr:pic>
      <xdr:nvPicPr>
        <xdr:cNvPr id="12" name="ToggleButton3"/>
        <xdr:cNvPicPr preferRelativeResize="1">
          <a:picLocks noChangeAspect="1"/>
        </xdr:cNvPicPr>
      </xdr:nvPicPr>
      <xdr:blipFill>
        <a:blip r:embed="rId6"/>
        <a:stretch>
          <a:fillRect/>
        </a:stretch>
      </xdr:blipFill>
      <xdr:spPr>
        <a:xfrm>
          <a:off x="923925" y="3686175"/>
          <a:ext cx="123825" cy="76200"/>
        </a:xfrm>
        <a:prstGeom prst="rect">
          <a:avLst/>
        </a:prstGeom>
        <a:noFill/>
        <a:ln w="9525" cmpd="sng">
          <a:noFill/>
        </a:ln>
      </xdr:spPr>
    </xdr:pic>
    <xdr:clientData/>
  </xdr:twoCellAnchor>
  <xdr:twoCellAnchor editAs="oneCell">
    <xdr:from>
      <xdr:col>2</xdr:col>
      <xdr:colOff>9525</xdr:colOff>
      <xdr:row>40</xdr:row>
      <xdr:rowOff>76200</xdr:rowOff>
    </xdr:from>
    <xdr:to>
      <xdr:col>2</xdr:col>
      <xdr:colOff>133350</xdr:colOff>
      <xdr:row>40</xdr:row>
      <xdr:rowOff>152400</xdr:rowOff>
    </xdr:to>
    <xdr:pic>
      <xdr:nvPicPr>
        <xdr:cNvPr id="13" name="ToggleButton4"/>
        <xdr:cNvPicPr preferRelativeResize="1">
          <a:picLocks noChangeAspect="1"/>
        </xdr:cNvPicPr>
      </xdr:nvPicPr>
      <xdr:blipFill>
        <a:blip r:embed="rId7"/>
        <a:stretch>
          <a:fillRect/>
        </a:stretch>
      </xdr:blipFill>
      <xdr:spPr>
        <a:xfrm>
          <a:off x="942975" y="4076700"/>
          <a:ext cx="123825" cy="76200"/>
        </a:xfrm>
        <a:prstGeom prst="rect">
          <a:avLst/>
        </a:prstGeom>
        <a:noFill/>
        <a:ln w="9525" cmpd="sng">
          <a:noFill/>
        </a:ln>
      </xdr:spPr>
    </xdr:pic>
    <xdr:clientData/>
  </xdr:twoCellAnchor>
  <xdr:twoCellAnchor editAs="oneCell">
    <xdr:from>
      <xdr:col>1</xdr:col>
      <xdr:colOff>676275</xdr:colOff>
      <xdr:row>47</xdr:row>
      <xdr:rowOff>76200</xdr:rowOff>
    </xdr:from>
    <xdr:to>
      <xdr:col>2</xdr:col>
      <xdr:colOff>114300</xdr:colOff>
      <xdr:row>47</xdr:row>
      <xdr:rowOff>152400</xdr:rowOff>
    </xdr:to>
    <xdr:pic>
      <xdr:nvPicPr>
        <xdr:cNvPr id="14" name="ToggleButton5"/>
        <xdr:cNvPicPr preferRelativeResize="1">
          <a:picLocks noChangeAspect="1"/>
        </xdr:cNvPicPr>
      </xdr:nvPicPr>
      <xdr:blipFill>
        <a:blip r:embed="rId8"/>
        <a:stretch>
          <a:fillRect/>
        </a:stretch>
      </xdr:blipFill>
      <xdr:spPr>
        <a:xfrm>
          <a:off x="923925" y="4267200"/>
          <a:ext cx="123825" cy="76200"/>
        </a:xfrm>
        <a:prstGeom prst="rect">
          <a:avLst/>
        </a:prstGeom>
        <a:noFill/>
        <a:ln w="9525" cmpd="sng">
          <a:noFill/>
        </a:ln>
      </xdr:spPr>
    </xdr:pic>
    <xdr:clientData/>
  </xdr:twoCellAnchor>
  <xdr:twoCellAnchor editAs="oneCell">
    <xdr:from>
      <xdr:col>1</xdr:col>
      <xdr:colOff>66675</xdr:colOff>
      <xdr:row>0</xdr:row>
      <xdr:rowOff>47625</xdr:rowOff>
    </xdr:from>
    <xdr:to>
      <xdr:col>2</xdr:col>
      <xdr:colOff>361950</xdr:colOff>
      <xdr:row>5</xdr:row>
      <xdr:rowOff>95250</xdr:rowOff>
    </xdr:to>
    <xdr:pic>
      <xdr:nvPicPr>
        <xdr:cNvPr id="15" name="Image1"/>
        <xdr:cNvPicPr preferRelativeResize="1">
          <a:picLocks noChangeAspect="1"/>
        </xdr:cNvPicPr>
      </xdr:nvPicPr>
      <xdr:blipFill>
        <a:blip r:embed="rId9"/>
        <a:stretch>
          <a:fillRect/>
        </a:stretch>
      </xdr:blipFill>
      <xdr:spPr>
        <a:xfrm>
          <a:off x="314325" y="47625"/>
          <a:ext cx="981075" cy="7620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0</xdr:row>
      <xdr:rowOff>95250</xdr:rowOff>
    </xdr:from>
    <xdr:to>
      <xdr:col>4</xdr:col>
      <xdr:colOff>1095375</xdr:colOff>
      <xdr:row>0</xdr:row>
      <xdr:rowOff>314325</xdr:rowOff>
    </xdr:to>
    <xdr:sp>
      <xdr:nvSpPr>
        <xdr:cNvPr id="1" name="Text Box 14"/>
        <xdr:cNvSpPr txBox="1">
          <a:spLocks noChangeArrowheads="1"/>
        </xdr:cNvSpPr>
      </xdr:nvSpPr>
      <xdr:spPr>
        <a:xfrm>
          <a:off x="6762750" y="95250"/>
          <a:ext cx="200025" cy="219075"/>
        </a:xfrm>
        <a:prstGeom prst="rect">
          <a:avLst/>
        </a:prstGeom>
        <a:noFill/>
        <a:ln w="9525" cmpd="sng">
          <a:noFill/>
        </a:ln>
      </xdr:spPr>
      <xdr:txBody>
        <a:bodyPr vertOverflow="clip" wrap="square" lIns="27432" tIns="22860" rIns="0" bIns="0"/>
        <a:p>
          <a:pPr algn="l">
            <a:defRPr/>
          </a:pPr>
          <a:r>
            <a:rPr lang="en-US" cap="none" sz="1100" b="0" i="0" u="none" baseline="0">
              <a:solidFill>
                <a:srgbClr val="FF6600"/>
              </a:solidFill>
              <a:latin typeface="Georgia"/>
              <a:ea typeface="Georgia"/>
              <a:cs typeface="Georgia"/>
            </a:rPr>
            <a:t> </a:t>
          </a:r>
          <a:r>
            <a:rPr lang="en-US" cap="none" sz="1100" b="0" i="0" u="none" baseline="0">
              <a:solidFill>
                <a:srgbClr val="FF6600"/>
              </a:solidFill>
              <a:latin typeface="Georgia"/>
              <a:ea typeface="Georgia"/>
              <a:cs typeface="Georgia"/>
            </a:rPr>
            <a:t>
</a:t>
          </a:r>
        </a:p>
      </xdr:txBody>
    </xdr:sp>
    <xdr:clientData/>
  </xdr:twoCellAnchor>
  <xdr:twoCellAnchor>
    <xdr:from>
      <xdr:col>4</xdr:col>
      <xdr:colOff>895350</xdr:colOff>
      <xdr:row>0</xdr:row>
      <xdr:rowOff>400050</xdr:rowOff>
    </xdr:from>
    <xdr:to>
      <xdr:col>4</xdr:col>
      <xdr:colOff>1076325</xdr:colOff>
      <xdr:row>0</xdr:row>
      <xdr:rowOff>695325</xdr:rowOff>
    </xdr:to>
    <xdr:sp>
      <xdr:nvSpPr>
        <xdr:cNvPr id="2" name="Text Box 14"/>
        <xdr:cNvSpPr txBox="1">
          <a:spLocks noChangeArrowheads="1"/>
        </xdr:cNvSpPr>
      </xdr:nvSpPr>
      <xdr:spPr>
        <a:xfrm>
          <a:off x="6762750" y="400050"/>
          <a:ext cx="180975" cy="295275"/>
        </a:xfrm>
        <a:prstGeom prst="rect">
          <a:avLst/>
        </a:prstGeom>
        <a:noFill/>
        <a:ln w="9525" cmpd="sng">
          <a:noFill/>
        </a:ln>
      </xdr:spPr>
      <xdr:txBody>
        <a:bodyPr vertOverflow="clip" wrap="square" lIns="27432" tIns="22860" rIns="0" bIns="0"/>
        <a:p>
          <a:pPr algn="l">
            <a:defRPr/>
          </a:pPr>
          <a:r>
            <a:rPr lang="en-US" cap="none" sz="1100" b="0" i="0" u="none" baseline="0">
              <a:solidFill>
                <a:srgbClr val="FF6600"/>
              </a:solidFill>
            </a:rPr>
            <a:t/>
          </a:r>
        </a:p>
      </xdr:txBody>
    </xdr:sp>
    <xdr:clientData/>
  </xdr:twoCellAnchor>
  <xdr:twoCellAnchor>
    <xdr:from>
      <xdr:col>4</xdr:col>
      <xdr:colOff>1285875</xdr:colOff>
      <xdr:row>13</xdr:row>
      <xdr:rowOff>342900</xdr:rowOff>
    </xdr:from>
    <xdr:to>
      <xdr:col>4</xdr:col>
      <xdr:colOff>1762125</xdr:colOff>
      <xdr:row>14</xdr:row>
      <xdr:rowOff>0</xdr:rowOff>
    </xdr:to>
    <xdr:sp>
      <xdr:nvSpPr>
        <xdr:cNvPr id="3" name="TextBox 9">
          <a:hlinkClick r:id="rId1"/>
        </xdr:cNvPr>
        <xdr:cNvSpPr txBox="1">
          <a:spLocks noChangeArrowheads="1"/>
        </xdr:cNvSpPr>
      </xdr:nvSpPr>
      <xdr:spPr>
        <a:xfrm>
          <a:off x="7153275" y="5591175"/>
          <a:ext cx="476250" cy="0"/>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twoCellAnchor>
    <xdr:from>
      <xdr:col>4</xdr:col>
      <xdr:colOff>1295400</xdr:colOff>
      <xdr:row>27</xdr:row>
      <xdr:rowOff>342900</xdr:rowOff>
    </xdr:from>
    <xdr:to>
      <xdr:col>5</xdr:col>
      <xdr:colOff>0</xdr:colOff>
      <xdr:row>28</xdr:row>
      <xdr:rowOff>0</xdr:rowOff>
    </xdr:to>
    <xdr:sp>
      <xdr:nvSpPr>
        <xdr:cNvPr id="4" name="TextBox 15"/>
        <xdr:cNvSpPr txBox="1">
          <a:spLocks noChangeArrowheads="1"/>
        </xdr:cNvSpPr>
      </xdr:nvSpPr>
      <xdr:spPr>
        <a:xfrm>
          <a:off x="7162800" y="12820650"/>
          <a:ext cx="476250" cy="0"/>
        </a:xfrm>
        <a:prstGeom prst="rect">
          <a:avLst/>
        </a:prstGeom>
        <a:noFill/>
        <a:ln w="9525" cmpd="sng">
          <a:noFill/>
        </a:ln>
      </xdr:spPr>
      <xdr:txBody>
        <a:bodyPr vertOverflow="clip" wrap="square"/>
        <a:p>
          <a:pPr algn="l">
            <a:defRPr/>
          </a:pPr>
          <a:r>
            <a:rPr lang="en-US" cap="none" sz="1500" b="0" i="0" u="none" baseline="0">
              <a:solidFill>
                <a:srgbClr val="000000"/>
              </a:solidFill>
            </a:rPr>
            <a:t></a:t>
          </a:r>
        </a:p>
      </xdr:txBody>
    </xdr:sp>
    <xdr:clientData/>
  </xdr:twoCellAnchor>
  <xdr:oneCellAnchor>
    <xdr:from>
      <xdr:col>0</xdr:col>
      <xdr:colOff>361950</xdr:colOff>
      <xdr:row>3</xdr:row>
      <xdr:rowOff>76200</xdr:rowOff>
    </xdr:from>
    <xdr:ext cx="1228725" cy="676275"/>
    <xdr:grpSp>
      <xdr:nvGrpSpPr>
        <xdr:cNvPr id="5" name="Group 17"/>
        <xdr:cNvGrpSpPr>
          <a:grpSpLocks/>
        </xdr:cNvGrpSpPr>
      </xdr:nvGrpSpPr>
      <xdr:grpSpPr>
        <a:xfrm>
          <a:off x="361950" y="1504950"/>
          <a:ext cx="1228725" cy="676275"/>
          <a:chOff x="6762750" y="1310569"/>
          <a:chExt cx="1057291" cy="633138"/>
        </a:xfrm>
        <a:solidFill>
          <a:srgbClr val="FFFFFF"/>
        </a:solidFill>
      </xdr:grpSpPr>
      <xdr:sp>
        <xdr:nvSpPr>
          <xdr:cNvPr id="6" name="Rectangle 18"/>
          <xdr:cNvSpPr>
            <a:spLocks/>
          </xdr:cNvSpPr>
        </xdr:nvSpPr>
        <xdr:spPr>
          <a:xfrm>
            <a:off x="6877466" y="1310569"/>
            <a:ext cx="942575" cy="606388"/>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de saúde</a:t>
            </a:r>
          </a:p>
        </xdr:txBody>
      </xdr:sp>
      <xdr:sp>
        <xdr:nvSpPr>
          <xdr:cNvPr id="7" name="Rectangle 19"/>
          <xdr:cNvSpPr>
            <a:spLocks/>
          </xdr:cNvSpPr>
        </xdr:nvSpPr>
        <xdr:spPr>
          <a:xfrm>
            <a:off x="6762750" y="1908093"/>
            <a:ext cx="122910" cy="356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10</xdr:row>
      <xdr:rowOff>0</xdr:rowOff>
    </xdr:from>
    <xdr:ext cx="1228725" cy="695325"/>
    <xdr:grpSp>
      <xdr:nvGrpSpPr>
        <xdr:cNvPr id="8" name="Group 34"/>
        <xdr:cNvGrpSpPr>
          <a:grpSpLocks/>
        </xdr:cNvGrpSpPr>
      </xdr:nvGrpSpPr>
      <xdr:grpSpPr>
        <a:xfrm>
          <a:off x="361950" y="3943350"/>
          <a:ext cx="1228725" cy="695325"/>
          <a:chOff x="6770256" y="1310569"/>
          <a:chExt cx="968343" cy="650973"/>
        </a:xfrm>
        <a:solidFill>
          <a:srgbClr val="FFFFFF"/>
        </a:solidFill>
      </xdr:grpSpPr>
      <xdr:sp>
        <xdr:nvSpPr>
          <xdr:cNvPr id="9" name="Rectangle 35"/>
          <xdr:cNvSpPr>
            <a:spLocks/>
          </xdr:cNvSpPr>
        </xdr:nvSpPr>
        <xdr:spPr>
          <a:xfrm>
            <a:off x="6875321" y="1310569"/>
            <a:ext cx="862309" cy="63307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de educação</a:t>
            </a:r>
          </a:p>
        </xdr:txBody>
      </xdr:sp>
      <xdr:sp>
        <xdr:nvSpPr>
          <xdr:cNvPr id="10" name="Rectangle 36"/>
          <xdr:cNvSpPr>
            <a:spLocks/>
          </xdr:cNvSpPr>
        </xdr:nvSpPr>
        <xdr:spPr>
          <a:xfrm>
            <a:off x="6770256" y="1925901"/>
            <a:ext cx="112570" cy="35641"/>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24</xdr:row>
      <xdr:rowOff>19050</xdr:rowOff>
    </xdr:from>
    <xdr:ext cx="1476375" cy="790575"/>
    <xdr:grpSp>
      <xdr:nvGrpSpPr>
        <xdr:cNvPr id="11" name="Group 37"/>
        <xdr:cNvGrpSpPr>
          <a:grpSpLocks/>
        </xdr:cNvGrpSpPr>
      </xdr:nvGrpSpPr>
      <xdr:grpSpPr>
        <a:xfrm>
          <a:off x="361950" y="11049000"/>
          <a:ext cx="1476375" cy="790575"/>
          <a:chOff x="6697354" y="1203559"/>
          <a:chExt cx="1268549" cy="740150"/>
        </a:xfrm>
        <a:solidFill>
          <a:srgbClr val="FFFFFF"/>
        </a:solidFill>
      </xdr:grpSpPr>
      <xdr:sp>
        <xdr:nvSpPr>
          <xdr:cNvPr id="12" name="Rectangle 38"/>
          <xdr:cNvSpPr>
            <a:spLocks/>
          </xdr:cNvSpPr>
        </xdr:nvSpPr>
        <xdr:spPr>
          <a:xfrm>
            <a:off x="6820086" y="1203559"/>
            <a:ext cx="1144231" cy="713320"/>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prémios de seguros de saúde</a:t>
            </a:r>
          </a:p>
        </xdr:txBody>
      </xdr:sp>
      <xdr:sp>
        <xdr:nvSpPr>
          <xdr:cNvPr id="13" name="Rectangle 39"/>
          <xdr:cNvSpPr>
            <a:spLocks/>
          </xdr:cNvSpPr>
        </xdr:nvSpPr>
        <xdr:spPr>
          <a:xfrm>
            <a:off x="6697354" y="1907997"/>
            <a:ext cx="122732"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0</xdr:col>
      <xdr:colOff>361950</xdr:colOff>
      <xdr:row>18</xdr:row>
      <xdr:rowOff>238125</xdr:rowOff>
    </xdr:from>
    <xdr:to>
      <xdr:col>1</xdr:col>
      <xdr:colOff>1314450</xdr:colOff>
      <xdr:row>19</xdr:row>
      <xdr:rowOff>0</xdr:rowOff>
    </xdr:to>
    <xdr:grpSp>
      <xdr:nvGrpSpPr>
        <xdr:cNvPr id="14" name="Group 40"/>
        <xdr:cNvGrpSpPr>
          <a:grpSpLocks/>
        </xdr:cNvGrpSpPr>
      </xdr:nvGrpSpPr>
      <xdr:grpSpPr>
        <a:xfrm>
          <a:off x="361950" y="7839075"/>
          <a:ext cx="1466850" cy="790575"/>
          <a:chOff x="6762750" y="1203558"/>
          <a:chExt cx="1267291" cy="740151"/>
        </a:xfrm>
        <a:solidFill>
          <a:srgbClr val="FFFFFF"/>
        </a:solidFill>
      </xdr:grpSpPr>
      <xdr:sp>
        <xdr:nvSpPr>
          <xdr:cNvPr id="15" name="Rectangle 41"/>
          <xdr:cNvSpPr>
            <a:spLocks/>
          </xdr:cNvSpPr>
        </xdr:nvSpPr>
        <xdr:spPr>
          <a:xfrm>
            <a:off x="6878073" y="1203558"/>
            <a:ext cx="1151968" cy="71332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pensões de alimentos e similares</a:t>
            </a:r>
          </a:p>
        </xdr:txBody>
      </xdr:sp>
      <xdr:sp>
        <xdr:nvSpPr>
          <xdr:cNvPr id="16" name="Rectangle 42"/>
          <xdr:cNvSpPr>
            <a:spLocks/>
          </xdr:cNvSpPr>
        </xdr:nvSpPr>
        <xdr:spPr>
          <a:xfrm>
            <a:off x="6762750" y="1907997"/>
            <a:ext cx="123561"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361950</xdr:colOff>
      <xdr:row>14</xdr:row>
      <xdr:rowOff>142875</xdr:rowOff>
    </xdr:from>
    <xdr:ext cx="1228725" cy="704850"/>
    <xdr:grpSp>
      <xdr:nvGrpSpPr>
        <xdr:cNvPr id="17" name="Group 43"/>
        <xdr:cNvGrpSpPr>
          <a:grpSpLocks/>
        </xdr:cNvGrpSpPr>
      </xdr:nvGrpSpPr>
      <xdr:grpSpPr>
        <a:xfrm>
          <a:off x="361950" y="5734050"/>
          <a:ext cx="1228725" cy="704850"/>
          <a:chOff x="6776942" y="1282580"/>
          <a:chExt cx="915400" cy="652275"/>
        </a:xfrm>
        <a:solidFill>
          <a:srgbClr val="FFFFFF"/>
        </a:solidFill>
      </xdr:grpSpPr>
      <xdr:sp>
        <xdr:nvSpPr>
          <xdr:cNvPr id="18" name="Rectangle 44"/>
          <xdr:cNvSpPr>
            <a:spLocks/>
          </xdr:cNvSpPr>
        </xdr:nvSpPr>
        <xdr:spPr>
          <a:xfrm>
            <a:off x="6876263" y="1282580"/>
            <a:ext cx="816079" cy="625858"/>
          </a:xfrm>
          <a:prstGeom prst="rect">
            <a:avLst/>
          </a:prstGeom>
          <a:noFill/>
          <a:ln w="25400" cmpd="sng">
            <a:noFill/>
          </a:ln>
        </xdr:spPr>
        <xdr:txBody>
          <a:bodyPr vertOverflow="clip" wrap="square" anchor="ctr"/>
          <a:p>
            <a:pPr algn="l">
              <a:defRPr/>
            </a:pPr>
            <a:r>
              <a:rPr lang="en-US" cap="none" sz="1100" b="1" i="0" u="none" baseline="0">
                <a:solidFill>
                  <a:srgbClr val="FFFFFF"/>
                </a:solidFill>
              </a:rPr>
              <a:t>Encargos com imóveis e rendas</a:t>
            </a:r>
          </a:p>
        </xdr:txBody>
      </xdr:sp>
      <xdr:sp>
        <xdr:nvSpPr>
          <xdr:cNvPr id="19" name="Rectangle 45"/>
          <xdr:cNvSpPr>
            <a:spLocks/>
          </xdr:cNvSpPr>
        </xdr:nvSpPr>
        <xdr:spPr>
          <a:xfrm>
            <a:off x="6776942" y="1899632"/>
            <a:ext cx="106415" cy="3522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21</xdr:row>
      <xdr:rowOff>47625</xdr:rowOff>
    </xdr:from>
    <xdr:ext cx="1238250" cy="704850"/>
    <xdr:grpSp>
      <xdr:nvGrpSpPr>
        <xdr:cNvPr id="20" name="Group 46"/>
        <xdr:cNvGrpSpPr>
          <a:grpSpLocks/>
        </xdr:cNvGrpSpPr>
      </xdr:nvGrpSpPr>
      <xdr:grpSpPr>
        <a:xfrm>
          <a:off x="361950" y="9382125"/>
          <a:ext cx="1238250" cy="704850"/>
          <a:chOff x="6762750" y="1310568"/>
          <a:chExt cx="975849" cy="679115"/>
        </a:xfrm>
        <a:solidFill>
          <a:srgbClr val="FFFFFF"/>
        </a:solidFill>
      </xdr:grpSpPr>
      <xdr:sp>
        <xdr:nvSpPr>
          <xdr:cNvPr id="21" name="Rectangle 47"/>
          <xdr:cNvSpPr>
            <a:spLocks/>
          </xdr:cNvSpPr>
        </xdr:nvSpPr>
        <xdr:spPr>
          <a:xfrm>
            <a:off x="6875217" y="1310568"/>
            <a:ext cx="862407" cy="651611"/>
          </a:xfrm>
          <a:prstGeom prst="rect">
            <a:avLst/>
          </a:prstGeom>
          <a:noFill/>
          <a:ln w="25400" cmpd="sng">
            <a:noFill/>
          </a:ln>
        </xdr:spPr>
        <xdr:txBody>
          <a:bodyPr vertOverflow="clip" wrap="square" anchor="ctr"/>
          <a:p>
            <a:pPr algn="l">
              <a:defRPr/>
            </a:pPr>
            <a:r>
              <a:rPr lang="en-US" cap="none" sz="1100" b="1" i="0" u="none" baseline="0">
                <a:solidFill>
                  <a:srgbClr val="FFFFFF"/>
                </a:solidFill>
              </a:rPr>
              <a:t>Despesas com lares</a:t>
            </a:r>
          </a:p>
        </xdr:txBody>
      </xdr:sp>
      <xdr:sp>
        <xdr:nvSpPr>
          <xdr:cNvPr id="22" name="Rectangle 48"/>
          <xdr:cNvSpPr>
            <a:spLocks/>
          </xdr:cNvSpPr>
        </xdr:nvSpPr>
        <xdr:spPr>
          <a:xfrm>
            <a:off x="6762750" y="1953011"/>
            <a:ext cx="112467" cy="3667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27</xdr:row>
      <xdr:rowOff>333375</xdr:rowOff>
    </xdr:from>
    <xdr:ext cx="1228725" cy="714375"/>
    <xdr:grpSp>
      <xdr:nvGrpSpPr>
        <xdr:cNvPr id="23" name="Group 49"/>
        <xdr:cNvGrpSpPr>
          <a:grpSpLocks/>
        </xdr:cNvGrpSpPr>
      </xdr:nvGrpSpPr>
      <xdr:grpSpPr>
        <a:xfrm>
          <a:off x="361950" y="12811125"/>
          <a:ext cx="1228725" cy="714375"/>
          <a:chOff x="6836826" y="1328403"/>
          <a:chExt cx="868729" cy="668809"/>
        </a:xfrm>
        <a:solidFill>
          <a:srgbClr val="FFFFFF"/>
        </a:solidFill>
      </xdr:grpSpPr>
      <xdr:sp>
        <xdr:nvSpPr>
          <xdr:cNvPr id="24" name="Rectangle 50"/>
          <xdr:cNvSpPr>
            <a:spLocks/>
          </xdr:cNvSpPr>
        </xdr:nvSpPr>
        <xdr:spPr>
          <a:xfrm>
            <a:off x="6931083" y="1328403"/>
            <a:ext cx="774472" cy="633195"/>
          </a:xfrm>
          <a:prstGeom prst="rect">
            <a:avLst/>
          </a:prstGeom>
          <a:noFill/>
          <a:ln w="25400" cmpd="sng">
            <a:noFill/>
          </a:ln>
        </xdr:spPr>
        <xdr:txBody>
          <a:bodyPr vertOverflow="clip" wrap="square" anchor="ctr"/>
          <a:p>
            <a:pPr algn="l">
              <a:defRPr/>
            </a:pPr>
            <a:r>
              <a:rPr lang="en-US" cap="none" sz="1100" b="1" i="0" u="none" baseline="0">
                <a:solidFill>
                  <a:srgbClr val="FFFFFF"/>
                </a:solidFill>
              </a:rPr>
              <a:t>Encargos</a:t>
            </a:r>
            <a:r>
              <a:rPr lang="en-US" cap="none" sz="1100" b="1" i="0" u="none" baseline="0">
                <a:solidFill>
                  <a:srgbClr val="FFFFFF"/>
                </a:solidFill>
              </a:rPr>
              <a:t> com d</a:t>
            </a:r>
            <a:r>
              <a:rPr lang="en-US" cap="none" sz="1100" b="1" i="0" u="none" baseline="0">
                <a:solidFill>
                  <a:srgbClr val="FFFFFF"/>
                </a:solidFill>
              </a:rPr>
              <a:t>onativos</a:t>
            </a:r>
          </a:p>
        </xdr:txBody>
      </xdr:sp>
      <xdr:sp>
        <xdr:nvSpPr>
          <xdr:cNvPr id="25" name="Rectangle 51"/>
          <xdr:cNvSpPr>
            <a:spLocks/>
          </xdr:cNvSpPr>
        </xdr:nvSpPr>
        <xdr:spPr>
          <a:xfrm>
            <a:off x="6836826" y="1961598"/>
            <a:ext cx="107722" cy="356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31</xdr:row>
      <xdr:rowOff>114300</xdr:rowOff>
    </xdr:from>
    <xdr:ext cx="1466850" cy="800100"/>
    <xdr:grpSp>
      <xdr:nvGrpSpPr>
        <xdr:cNvPr id="26" name="Group 52"/>
        <xdr:cNvGrpSpPr>
          <a:grpSpLocks/>
        </xdr:cNvGrpSpPr>
      </xdr:nvGrpSpPr>
      <xdr:grpSpPr>
        <a:xfrm>
          <a:off x="361950" y="14554200"/>
          <a:ext cx="1466850" cy="800100"/>
          <a:chOff x="6762750" y="1087666"/>
          <a:chExt cx="972537" cy="857773"/>
        </a:xfrm>
        <a:solidFill>
          <a:srgbClr val="FFFFFF"/>
        </a:solidFill>
      </xdr:grpSpPr>
      <xdr:sp>
        <xdr:nvSpPr>
          <xdr:cNvPr id="27" name="Rectangle 53"/>
          <xdr:cNvSpPr>
            <a:spLocks/>
          </xdr:cNvSpPr>
        </xdr:nvSpPr>
        <xdr:spPr>
          <a:xfrm>
            <a:off x="6851008" y="1087666"/>
            <a:ext cx="882091" cy="815742"/>
          </a:xfrm>
          <a:prstGeom prst="rect">
            <a:avLst/>
          </a:prstGeom>
          <a:noFill/>
          <a:ln w="25400" cmpd="sng">
            <a:noFill/>
          </a:ln>
        </xdr:spPr>
        <xdr:txBody>
          <a:bodyPr vertOverflow="clip" wrap="square" anchor="ctr"/>
          <a:p>
            <a:pPr algn="l">
              <a:defRPr/>
            </a:pPr>
            <a:r>
              <a:rPr lang="en-US" cap="none" sz="1100" b="1" i="0" u="none" baseline="0">
                <a:solidFill>
                  <a:srgbClr val="FFFFFF"/>
                </a:solidFill>
              </a:rPr>
              <a:t>Contribuições para Planos Poupança Reforma (PPR)</a:t>
            </a:r>
          </a:p>
        </xdr:txBody>
      </xdr:sp>
      <xdr:sp>
        <xdr:nvSpPr>
          <xdr:cNvPr id="28" name="Rectangle 54"/>
          <xdr:cNvSpPr>
            <a:spLocks/>
          </xdr:cNvSpPr>
        </xdr:nvSpPr>
        <xdr:spPr>
          <a:xfrm>
            <a:off x="6762750" y="1903408"/>
            <a:ext cx="94579" cy="4074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36</xdr:row>
      <xdr:rowOff>304800</xdr:rowOff>
    </xdr:from>
    <xdr:ext cx="1466850" cy="790575"/>
    <xdr:grpSp>
      <xdr:nvGrpSpPr>
        <xdr:cNvPr id="29" name="Group 55"/>
        <xdr:cNvGrpSpPr>
          <a:grpSpLocks/>
        </xdr:cNvGrpSpPr>
      </xdr:nvGrpSpPr>
      <xdr:grpSpPr>
        <a:xfrm>
          <a:off x="361950" y="16640175"/>
          <a:ext cx="1466850" cy="790575"/>
          <a:chOff x="6762750" y="1203565"/>
          <a:chExt cx="916138" cy="740148"/>
        </a:xfrm>
        <a:solidFill>
          <a:srgbClr val="FFFFFF"/>
        </a:solidFill>
      </xdr:grpSpPr>
      <xdr:sp>
        <xdr:nvSpPr>
          <xdr:cNvPr id="30" name="Rectangle 56"/>
          <xdr:cNvSpPr>
            <a:spLocks/>
          </xdr:cNvSpPr>
        </xdr:nvSpPr>
        <xdr:spPr>
          <a:xfrm>
            <a:off x="6845890" y="1203565"/>
            <a:ext cx="830250" cy="713318"/>
          </a:xfrm>
          <a:prstGeom prst="rect">
            <a:avLst/>
          </a:prstGeom>
          <a:noFill/>
          <a:ln w="25400" cmpd="sng">
            <a:noFill/>
          </a:ln>
        </xdr:spPr>
        <xdr:txBody>
          <a:bodyPr vertOverflow="clip" wrap="square" anchor="ctr"/>
          <a:p>
            <a:pPr algn="l">
              <a:defRPr/>
            </a:pPr>
            <a:r>
              <a:rPr lang="en-US" cap="none" sz="1100" b="1" i="0" u="none" baseline="0">
                <a:solidFill>
                  <a:srgbClr val="FFFFFF"/>
                </a:solidFill>
              </a:rPr>
              <a:t>Limite à soma das deduções à colecta</a:t>
            </a:r>
          </a:p>
        </xdr:txBody>
      </xdr:sp>
      <xdr:sp>
        <xdr:nvSpPr>
          <xdr:cNvPr id="31" name="Rectangle 57"/>
          <xdr:cNvSpPr>
            <a:spLocks/>
          </xdr:cNvSpPr>
        </xdr:nvSpPr>
        <xdr:spPr>
          <a:xfrm>
            <a:off x="6762750" y="1908001"/>
            <a:ext cx="88865" cy="35712"/>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0</xdr:col>
      <xdr:colOff>361950</xdr:colOff>
      <xdr:row>49</xdr:row>
      <xdr:rowOff>66675</xdr:rowOff>
    </xdr:from>
    <xdr:ext cx="1543050" cy="790575"/>
    <xdr:grpSp>
      <xdr:nvGrpSpPr>
        <xdr:cNvPr id="32" name="Group 58"/>
        <xdr:cNvGrpSpPr>
          <a:grpSpLocks/>
        </xdr:cNvGrpSpPr>
      </xdr:nvGrpSpPr>
      <xdr:grpSpPr>
        <a:xfrm>
          <a:off x="361950" y="20669250"/>
          <a:ext cx="1543050" cy="790575"/>
          <a:chOff x="6800555" y="1248146"/>
          <a:chExt cx="874865" cy="620324"/>
        </a:xfrm>
        <a:solidFill>
          <a:srgbClr val="FFFFFF"/>
        </a:solidFill>
      </xdr:grpSpPr>
      <xdr:sp>
        <xdr:nvSpPr>
          <xdr:cNvPr id="33" name="Rectangle 59"/>
          <xdr:cNvSpPr>
            <a:spLocks/>
          </xdr:cNvSpPr>
        </xdr:nvSpPr>
        <xdr:spPr>
          <a:xfrm>
            <a:off x="6876231" y="1248146"/>
            <a:ext cx="799189" cy="597837"/>
          </a:xfrm>
          <a:prstGeom prst="rect">
            <a:avLst/>
          </a:prstGeom>
          <a:noFill/>
          <a:ln w="25400" cmpd="sng">
            <a:noFill/>
          </a:ln>
        </xdr:spPr>
        <xdr:txBody>
          <a:bodyPr vertOverflow="clip" wrap="square" anchor="ctr"/>
          <a:p>
            <a:pPr algn="l">
              <a:defRPr/>
            </a:pPr>
            <a:r>
              <a:rPr lang="en-US" cap="none" sz="1100" b="1" i="0" u="none" baseline="0">
                <a:solidFill>
                  <a:srgbClr val="FFFFFF"/>
                </a:solidFill>
              </a:rPr>
              <a:t>Limite dos beneficios fiscais dedutíveis à colecta</a:t>
            </a:r>
          </a:p>
        </xdr:txBody>
      </xdr:sp>
      <xdr:sp>
        <xdr:nvSpPr>
          <xdr:cNvPr id="34" name="Rectangle 60"/>
          <xdr:cNvSpPr>
            <a:spLocks/>
          </xdr:cNvSpPr>
        </xdr:nvSpPr>
        <xdr:spPr>
          <a:xfrm>
            <a:off x="6800555" y="1838539"/>
            <a:ext cx="80925" cy="29931"/>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absolute">
    <xdr:from>
      <xdr:col>3</xdr:col>
      <xdr:colOff>1104900</xdr:colOff>
      <xdr:row>60</xdr:row>
      <xdr:rowOff>57150</xdr:rowOff>
    </xdr:from>
    <xdr:to>
      <xdr:col>4</xdr:col>
      <xdr:colOff>1047750</xdr:colOff>
      <xdr:row>65</xdr:row>
      <xdr:rowOff>133350</xdr:rowOff>
    </xdr:to>
    <xdr:grpSp>
      <xdr:nvGrpSpPr>
        <xdr:cNvPr id="35" name="Group 61"/>
        <xdr:cNvGrpSpPr>
          <a:grpSpLocks/>
        </xdr:cNvGrpSpPr>
      </xdr:nvGrpSpPr>
      <xdr:grpSpPr>
        <a:xfrm>
          <a:off x="5200650" y="24250650"/>
          <a:ext cx="1714500" cy="981075"/>
          <a:chOff x="6800798" y="1518146"/>
          <a:chExt cx="959271" cy="411262"/>
        </a:xfrm>
        <a:solidFill>
          <a:srgbClr val="FFFFFF"/>
        </a:solidFill>
      </xdr:grpSpPr>
      <xdr:sp>
        <xdr:nvSpPr>
          <xdr:cNvPr id="36" name="Rectangle 62">
            <a:hlinkClick r:id="rId2"/>
          </xdr:cNvPr>
          <xdr:cNvSpPr>
            <a:spLocks/>
          </xdr:cNvSpPr>
        </xdr:nvSpPr>
        <xdr:spPr>
          <a:xfrm>
            <a:off x="6875381" y="1518146"/>
            <a:ext cx="884688" cy="395017"/>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37" name="Rectangle 63"/>
          <xdr:cNvSpPr>
            <a:spLocks/>
          </xdr:cNvSpPr>
        </xdr:nvSpPr>
        <xdr:spPr>
          <a:xfrm>
            <a:off x="6800798" y="1909153"/>
            <a:ext cx="79859" cy="1994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4</xdr:col>
      <xdr:colOff>295275</xdr:colOff>
      <xdr:row>64</xdr:row>
      <xdr:rowOff>66675</xdr:rowOff>
    </xdr:from>
    <xdr:to>
      <xdr:col>5</xdr:col>
      <xdr:colOff>57150</xdr:colOff>
      <xdr:row>67</xdr:row>
      <xdr:rowOff>76200</xdr:rowOff>
    </xdr:to>
    <xdr:grpSp>
      <xdr:nvGrpSpPr>
        <xdr:cNvPr id="38" name="Group 64"/>
        <xdr:cNvGrpSpPr>
          <a:grpSpLocks/>
        </xdr:cNvGrpSpPr>
      </xdr:nvGrpSpPr>
      <xdr:grpSpPr>
        <a:xfrm>
          <a:off x="6162675" y="24984075"/>
          <a:ext cx="1533525" cy="552450"/>
          <a:chOff x="6777115" y="1609922"/>
          <a:chExt cx="1157966" cy="321526"/>
        </a:xfrm>
        <a:solidFill>
          <a:srgbClr val="FFFFFF"/>
        </a:solidFill>
      </xdr:grpSpPr>
      <xdr:sp>
        <xdr:nvSpPr>
          <xdr:cNvPr id="39" name="Rectangle 65">
            <a:hlinkClick r:id="rId3"/>
          </xdr:cNvPr>
          <xdr:cNvSpPr>
            <a:spLocks/>
          </xdr:cNvSpPr>
        </xdr:nvSpPr>
        <xdr:spPr>
          <a:xfrm>
            <a:off x="6877858" y="1609922"/>
            <a:ext cx="1057223" cy="304887"/>
          </a:xfrm>
          <a:prstGeom prst="rect">
            <a:avLst/>
          </a:prstGeom>
          <a:noFill/>
          <a:ln w="25400" cmpd="sng">
            <a:noFill/>
          </a:ln>
        </xdr:spPr>
        <xdr:txBody>
          <a:bodyPr vertOverflow="clip" wrap="square" anchor="ctr"/>
          <a:p>
            <a:pPr algn="l">
              <a:defRPr/>
            </a:pPr>
            <a:r>
              <a:rPr lang="en-US" cap="none" sz="1000" b="1" i="0" u="none" baseline="0">
                <a:solidFill>
                  <a:srgbClr val="FFFFFF"/>
                </a:solidFill>
              </a:rPr>
              <a:t>www.pwc.com/pt</a:t>
            </a:r>
          </a:p>
        </xdr:txBody>
      </xdr:sp>
      <xdr:sp>
        <xdr:nvSpPr>
          <xdr:cNvPr id="40" name="Rectangle 66"/>
          <xdr:cNvSpPr>
            <a:spLocks/>
          </xdr:cNvSpPr>
        </xdr:nvSpPr>
        <xdr:spPr>
          <a:xfrm>
            <a:off x="6777115" y="1909263"/>
            <a:ext cx="107980" cy="2218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4</xdr:col>
      <xdr:colOff>1428750</xdr:colOff>
      <xdr:row>0</xdr:row>
      <xdr:rowOff>152400</xdr:rowOff>
    </xdr:from>
    <xdr:to>
      <xdr:col>5</xdr:col>
      <xdr:colOff>581025</xdr:colOff>
      <xdr:row>0</xdr:row>
      <xdr:rowOff>666750</xdr:rowOff>
    </xdr:to>
    <xdr:grpSp>
      <xdr:nvGrpSpPr>
        <xdr:cNvPr id="41" name="Group 67"/>
        <xdr:cNvGrpSpPr>
          <a:grpSpLocks/>
        </xdr:cNvGrpSpPr>
      </xdr:nvGrpSpPr>
      <xdr:grpSpPr>
        <a:xfrm>
          <a:off x="7296150" y="152400"/>
          <a:ext cx="923925" cy="514350"/>
          <a:chOff x="6762750" y="1310569"/>
          <a:chExt cx="1057277" cy="634121"/>
        </a:xfrm>
        <a:solidFill>
          <a:srgbClr val="FFFFFF"/>
        </a:solidFill>
      </xdr:grpSpPr>
      <xdr:sp>
        <xdr:nvSpPr>
          <xdr:cNvPr id="42" name="Rectangle 68">
            <a:hlinkClick r:id="rId4"/>
          </xdr:cNvPr>
          <xdr:cNvSpPr>
            <a:spLocks/>
          </xdr:cNvSpPr>
        </xdr:nvSpPr>
        <xdr:spPr>
          <a:xfrm>
            <a:off x="6871650" y="1310569"/>
            <a:ext cx="948377" cy="610659"/>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43" name="Rectangle 69"/>
          <xdr:cNvSpPr>
            <a:spLocks/>
          </xdr:cNvSpPr>
        </xdr:nvSpPr>
        <xdr:spPr>
          <a:xfrm>
            <a:off x="6762750" y="1909496"/>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504825</xdr:colOff>
      <xdr:row>0</xdr:row>
      <xdr:rowOff>38100</xdr:rowOff>
    </xdr:from>
    <xdr:to>
      <xdr:col>1</xdr:col>
      <xdr:colOff>923925</xdr:colOff>
      <xdr:row>0</xdr:row>
      <xdr:rowOff>781050</xdr:rowOff>
    </xdr:to>
    <xdr:pic>
      <xdr:nvPicPr>
        <xdr:cNvPr id="44" name="Image1"/>
        <xdr:cNvPicPr preferRelativeResize="1">
          <a:picLocks noChangeAspect="1"/>
        </xdr:cNvPicPr>
      </xdr:nvPicPr>
      <xdr:blipFill>
        <a:blip r:embed="rId5"/>
        <a:stretch>
          <a:fillRect/>
        </a:stretch>
      </xdr:blipFill>
      <xdr:spPr>
        <a:xfrm>
          <a:off x="504825" y="38100"/>
          <a:ext cx="933450" cy="74295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6981825</xdr:colOff>
      <xdr:row>2</xdr:row>
      <xdr:rowOff>19050</xdr:rowOff>
    </xdr:from>
    <xdr:to>
      <xdr:col>1</xdr:col>
      <xdr:colOff>7905750</xdr:colOff>
      <xdr:row>5</xdr:row>
      <xdr:rowOff>47625</xdr:rowOff>
    </xdr:to>
    <xdr:grpSp>
      <xdr:nvGrpSpPr>
        <xdr:cNvPr id="1" name="Group 4"/>
        <xdr:cNvGrpSpPr>
          <a:grpSpLocks/>
        </xdr:cNvGrpSpPr>
      </xdr:nvGrpSpPr>
      <xdr:grpSpPr>
        <a:xfrm>
          <a:off x="7486650" y="171450"/>
          <a:ext cx="923925" cy="514350"/>
          <a:chOff x="6762750" y="1310569"/>
          <a:chExt cx="1057277" cy="634120"/>
        </a:xfrm>
        <a:solidFill>
          <a:srgbClr val="FFFFFF"/>
        </a:solidFill>
      </xdr:grpSpPr>
      <xdr:sp>
        <xdr:nvSpPr>
          <xdr:cNvPr id="2" name="Rectangle 2">
            <a:hlinkClick r:id="rId1"/>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3" name="Rectangle 3"/>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495300</xdr:colOff>
      <xdr:row>0</xdr:row>
      <xdr:rowOff>28575</xdr:rowOff>
    </xdr:from>
    <xdr:to>
      <xdr:col>1</xdr:col>
      <xdr:colOff>971550</xdr:colOff>
      <xdr:row>5</xdr:row>
      <xdr:rowOff>152400</xdr:rowOff>
    </xdr:to>
    <xdr:pic>
      <xdr:nvPicPr>
        <xdr:cNvPr id="4" name="Image1"/>
        <xdr:cNvPicPr preferRelativeResize="1">
          <a:picLocks noChangeAspect="1"/>
        </xdr:cNvPicPr>
      </xdr:nvPicPr>
      <xdr:blipFill>
        <a:blip r:embed="rId2"/>
        <a:stretch>
          <a:fillRect/>
        </a:stretch>
      </xdr:blipFill>
      <xdr:spPr>
        <a:xfrm>
          <a:off x="495300" y="28575"/>
          <a:ext cx="981075" cy="76200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6705600</xdr:colOff>
      <xdr:row>51</xdr:row>
      <xdr:rowOff>0</xdr:rowOff>
    </xdr:from>
    <xdr:to>
      <xdr:col>2</xdr:col>
      <xdr:colOff>466725</xdr:colOff>
      <xdr:row>56</xdr:row>
      <xdr:rowOff>85725</xdr:rowOff>
    </xdr:to>
    <xdr:grpSp>
      <xdr:nvGrpSpPr>
        <xdr:cNvPr id="1" name="Group 1"/>
        <xdr:cNvGrpSpPr>
          <a:grpSpLocks/>
        </xdr:cNvGrpSpPr>
      </xdr:nvGrpSpPr>
      <xdr:grpSpPr>
        <a:xfrm>
          <a:off x="7210425" y="10353675"/>
          <a:ext cx="1714500" cy="990600"/>
          <a:chOff x="6800798" y="1518146"/>
          <a:chExt cx="961044" cy="412722"/>
        </a:xfrm>
        <a:solidFill>
          <a:srgbClr val="FFFFFF"/>
        </a:solidFill>
      </xdr:grpSpPr>
      <xdr:sp>
        <xdr:nvSpPr>
          <xdr:cNvPr id="2" name="Rectangle 2">
            <a:hlinkClick r:id="rId1"/>
          </xdr:cNvPr>
          <xdr:cNvSpPr>
            <a:spLocks/>
          </xdr:cNvSpPr>
        </xdr:nvSpPr>
        <xdr:spPr>
          <a:xfrm>
            <a:off x="6877201" y="1517837"/>
            <a:ext cx="884641" cy="397245"/>
          </a:xfrm>
          <a:prstGeom prst="rect">
            <a:avLst/>
          </a:prstGeom>
          <a:noFill/>
          <a:ln w="25400" cmpd="sng">
            <a:noFill/>
          </a:ln>
        </xdr:spPr>
        <xdr:txBody>
          <a:bodyPr vertOverflow="clip" wrap="square" anchor="ctr"/>
          <a:p>
            <a:pPr algn="l">
              <a:defRPr/>
            </a:pPr>
            <a:r>
              <a:rPr lang="en-US" cap="none" sz="1500" b="1" i="0" u="none" baseline="0">
                <a:solidFill>
                  <a:srgbClr val="FFFFFF"/>
                </a:solidFill>
              </a:rPr>
              <a:t>Simular IRS 2012</a:t>
            </a:r>
          </a:p>
        </xdr:txBody>
      </xdr:sp>
      <xdr:sp>
        <xdr:nvSpPr>
          <xdr:cNvPr id="3" name="Rectangle 3"/>
          <xdr:cNvSpPr>
            <a:spLocks/>
          </xdr:cNvSpPr>
        </xdr:nvSpPr>
        <xdr:spPr>
          <a:xfrm>
            <a:off x="6802480" y="1910954"/>
            <a:ext cx="80007" cy="1991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xdr:col>
      <xdr:colOff>6753225</xdr:colOff>
      <xdr:row>2</xdr:row>
      <xdr:rowOff>38100</xdr:rowOff>
    </xdr:from>
    <xdr:to>
      <xdr:col>1</xdr:col>
      <xdr:colOff>7677150</xdr:colOff>
      <xdr:row>5</xdr:row>
      <xdr:rowOff>66675</xdr:rowOff>
    </xdr:to>
    <xdr:grpSp>
      <xdr:nvGrpSpPr>
        <xdr:cNvPr id="4" name="Group 4"/>
        <xdr:cNvGrpSpPr>
          <a:grpSpLocks/>
        </xdr:cNvGrpSpPr>
      </xdr:nvGrpSpPr>
      <xdr:grpSpPr>
        <a:xfrm>
          <a:off x="7258050" y="190500"/>
          <a:ext cx="923925" cy="514350"/>
          <a:chOff x="6762750" y="1310569"/>
          <a:chExt cx="1057277" cy="634120"/>
        </a:xfrm>
        <a:solidFill>
          <a:srgbClr val="FFFFFF"/>
        </a:solidFill>
      </xdr:grpSpPr>
      <xdr:sp>
        <xdr:nvSpPr>
          <xdr:cNvPr id="5" name="Rectangle 5">
            <a:hlinkClick r:id="rId2"/>
          </xdr:cNvPr>
          <xdr:cNvSpPr>
            <a:spLocks/>
          </xdr:cNvSpPr>
        </xdr:nvSpPr>
        <xdr:spPr>
          <a:xfrm>
            <a:off x="6871650" y="1310569"/>
            <a:ext cx="948377" cy="610658"/>
          </a:xfrm>
          <a:prstGeom prst="rect">
            <a:avLst/>
          </a:prstGeom>
          <a:noFill/>
          <a:ln w="25400" cmpd="sng">
            <a:noFill/>
          </a:ln>
        </xdr:spPr>
        <xdr:txBody>
          <a:bodyPr vertOverflow="clip" wrap="square" anchor="ctr"/>
          <a:p>
            <a:pPr algn="l">
              <a:defRPr/>
            </a:pPr>
            <a:r>
              <a:rPr lang="en-US" cap="none" sz="1100" b="1" i="0" u="none" baseline="0">
                <a:solidFill>
                  <a:srgbClr val="FFFFFF"/>
                </a:solidFill>
              </a:rPr>
              <a:t>Simular IRS 2012</a:t>
            </a:r>
          </a:p>
        </xdr:txBody>
      </xdr:sp>
      <xdr:sp>
        <xdr:nvSpPr>
          <xdr:cNvPr id="6" name="Rectangle 6"/>
          <xdr:cNvSpPr>
            <a:spLocks/>
          </xdr:cNvSpPr>
        </xdr:nvSpPr>
        <xdr:spPr>
          <a:xfrm>
            <a:off x="6762750" y="1909495"/>
            <a:ext cx="130838" cy="35194"/>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66675</xdr:colOff>
      <xdr:row>0</xdr:row>
      <xdr:rowOff>0</xdr:rowOff>
    </xdr:from>
    <xdr:to>
      <xdr:col>1</xdr:col>
      <xdr:colOff>1047750</xdr:colOff>
      <xdr:row>5</xdr:row>
      <xdr:rowOff>123825</xdr:rowOff>
    </xdr:to>
    <xdr:pic>
      <xdr:nvPicPr>
        <xdr:cNvPr id="7" name="Image1"/>
        <xdr:cNvPicPr preferRelativeResize="1">
          <a:picLocks noChangeAspect="1"/>
        </xdr:cNvPicPr>
      </xdr:nvPicPr>
      <xdr:blipFill>
        <a:blip r:embed="rId3"/>
        <a:stretch>
          <a:fillRect/>
        </a:stretch>
      </xdr:blipFill>
      <xdr:spPr>
        <a:xfrm>
          <a:off x="571500" y="0"/>
          <a:ext cx="981075" cy="7620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B2:M63"/>
  <sheetViews>
    <sheetView showGridLines="0" showRowColHeaders="0" tabSelected="1" zoomScale="90" zoomScaleNormal="90" zoomScaleSheetLayoutView="75" zoomScalePageLayoutView="0" workbookViewId="0" topLeftCell="A1">
      <pane ySplit="9" topLeftCell="A10" activePane="bottomLeft" state="frozen"/>
      <selection pane="topLeft" activeCell="A1" sqref="A1"/>
      <selection pane="bottomLeft" activeCell="D25" sqref="D25"/>
    </sheetView>
  </sheetViews>
  <sheetFormatPr defaultColWidth="9.00390625" defaultRowHeight="14.25"/>
  <cols>
    <col min="1" max="1" width="6.625" style="335" customWidth="1"/>
    <col min="2" max="2" width="100.00390625" style="335" customWidth="1"/>
    <col min="3" max="3" width="9.50390625" style="335" customWidth="1"/>
    <col min="4" max="4" width="14.00390625" style="350" customWidth="1"/>
    <col min="5" max="5" width="2.875" style="350" customWidth="1"/>
    <col min="6" max="6" width="14.00390625" style="350" customWidth="1"/>
    <col min="7" max="7" width="3.625" style="350" customWidth="1"/>
    <col min="8" max="8" width="12.375" style="350" customWidth="1"/>
    <col min="9" max="9" width="1.00390625" style="350" customWidth="1"/>
    <col min="10" max="10" width="2.75390625" style="377" customWidth="1"/>
    <col min="11" max="11" width="2.25390625" style="350" customWidth="1"/>
    <col min="12" max="12" width="6.875" style="350" customWidth="1"/>
    <col min="13" max="16384" width="9.00390625" style="335" customWidth="1"/>
  </cols>
  <sheetData>
    <row r="1" ht="10.5" customHeight="1"/>
    <row r="2" ht="6.75" customHeight="1">
      <c r="M2" s="350"/>
    </row>
    <row r="3" ht="12.75" customHeight="1">
      <c r="M3" s="350"/>
    </row>
    <row r="4" ht="18" customHeight="1">
      <c r="M4" s="350"/>
    </row>
    <row r="5" ht="12.75" customHeight="1">
      <c r="M5" s="350"/>
    </row>
    <row r="6" spans="2:13" ht="12.75" customHeight="1" thickBot="1">
      <c r="B6" s="544"/>
      <c r="C6" s="544"/>
      <c r="D6" s="544"/>
      <c r="M6" s="350"/>
    </row>
    <row r="7" spans="2:13" ht="7.5" customHeight="1">
      <c r="B7" s="522"/>
      <c r="C7" s="545"/>
      <c r="D7" s="545"/>
      <c r="E7" s="334"/>
      <c r="F7" s="334"/>
      <c r="G7" s="334"/>
      <c r="H7" s="334"/>
      <c r="I7" s="334"/>
      <c r="J7" s="378"/>
      <c r="K7" s="334"/>
      <c r="L7" s="334"/>
      <c r="M7" s="350"/>
    </row>
    <row r="8" spans="2:13" ht="20.25">
      <c r="B8" s="386" t="s">
        <v>295</v>
      </c>
      <c r="C8" s="337"/>
      <c r="D8" s="334"/>
      <c r="E8" s="334"/>
      <c r="F8" s="334"/>
      <c r="G8" s="334"/>
      <c r="H8" s="334"/>
      <c r="I8" s="334"/>
      <c r="J8" s="378"/>
      <c r="K8" s="334"/>
      <c r="L8" s="334"/>
      <c r="M8" s="336"/>
    </row>
    <row r="9" spans="2:13" ht="6.75" customHeight="1">
      <c r="B9" s="370"/>
      <c r="C9" s="339"/>
      <c r="D9" s="340"/>
      <c r="E9" s="340"/>
      <c r="F9" s="340"/>
      <c r="G9" s="340"/>
      <c r="H9" s="340"/>
      <c r="I9" s="340"/>
      <c r="J9" s="379"/>
      <c r="K9" s="340"/>
      <c r="L9" s="340"/>
      <c r="M9" s="341"/>
    </row>
    <row r="10" ht="6.75" customHeight="1">
      <c r="B10" s="371"/>
    </row>
    <row r="11" s="350" customFormat="1" ht="0.75" customHeight="1"/>
    <row r="12" s="350" customFormat="1" ht="14.25"/>
    <row r="13" s="350" customFormat="1" ht="14.25"/>
    <row r="14" s="350" customFormat="1" ht="14.25"/>
    <row r="15" s="350" customFormat="1" ht="4.5" customHeight="1"/>
    <row r="16" s="350" customFormat="1" ht="3.75" customHeight="1"/>
    <row r="17" s="350" customFormat="1" ht="14.25"/>
    <row r="18" s="350" customFormat="1" ht="14.25"/>
    <row r="19" s="350" customFormat="1" ht="14.25"/>
    <row r="20" s="350" customFormat="1" ht="14.25"/>
    <row r="21" s="350" customFormat="1" ht="14.25"/>
    <row r="22" s="350" customFormat="1" ht="14.25"/>
    <row r="23" s="350" customFormat="1" ht="14.25"/>
    <row r="24" s="350" customFormat="1" ht="14.25"/>
    <row r="25" s="350" customFormat="1" ht="14.25"/>
    <row r="26" s="350" customFormat="1" ht="14.25"/>
    <row r="27" s="350" customFormat="1" ht="14.25"/>
    <row r="28" s="350" customFormat="1" ht="14.25"/>
    <row r="29" s="350" customFormat="1" ht="14.25"/>
    <row r="30" s="350" customFormat="1" ht="14.25"/>
    <row r="31" s="350" customFormat="1" ht="14.25"/>
    <row r="32" s="350" customFormat="1" ht="14.25"/>
    <row r="33" s="350" customFormat="1" ht="14.25"/>
    <row r="34" s="350" customFormat="1" ht="14.25"/>
    <row r="35" s="350" customFormat="1" ht="14.25" customHeight="1"/>
    <row r="36" s="350" customFormat="1" ht="15" customHeight="1"/>
    <row r="37" s="350" customFormat="1" ht="14.25"/>
    <row r="38" s="350" customFormat="1" ht="16.5" customHeight="1"/>
    <row r="39" s="350" customFormat="1" ht="14.25"/>
    <row r="40" s="350" customFormat="1" ht="14.25"/>
    <row r="41" s="350" customFormat="1" ht="14.25"/>
    <row r="42" s="350" customFormat="1" ht="14.25"/>
    <row r="43" s="350" customFormat="1" ht="14.25"/>
    <row r="44" s="350" customFormat="1" ht="14.25"/>
    <row r="45" s="350" customFormat="1" ht="14.25"/>
    <row r="46" s="350" customFormat="1" ht="14.25"/>
    <row r="47" ht="14.25"/>
    <row r="48" ht="14.25"/>
    <row r="49" ht="14.25"/>
    <row r="50" ht="14.25"/>
    <row r="51" ht="14.25"/>
    <row r="52" ht="14.25"/>
    <row r="53" ht="14.25"/>
    <row r="54" ht="14.25"/>
    <row r="55" ht="14.25"/>
    <row r="56" ht="14.25"/>
    <row r="57" ht="14.25"/>
    <row r="58" ht="14.25"/>
    <row r="59" ht="14.25"/>
    <row r="60" ht="14.25"/>
    <row r="61" ht="14.25"/>
    <row r="62" ht="14.25"/>
    <row r="63" spans="2:13" ht="14.25">
      <c r="B63" s="338"/>
      <c r="C63" s="338"/>
      <c r="D63" s="348"/>
      <c r="E63" s="348"/>
      <c r="F63" s="348"/>
      <c r="G63" s="348"/>
      <c r="H63" s="348"/>
      <c r="I63" s="348"/>
      <c r="J63" s="356"/>
      <c r="K63" s="348"/>
      <c r="L63" s="348"/>
      <c r="M63" s="349"/>
    </row>
    <row r="91" ht="14.25"/>
    <row r="92" ht="14.25"/>
    <row r="93" ht="14.25"/>
    <row r="94" ht="14.25"/>
    <row r="95" ht="14.25"/>
  </sheetData>
  <sheetProtection password="C7EC" sheet="1" selectLockedCells="1" selectUnlockedCells="1"/>
  <printOptions/>
  <pageMargins left="0.7" right="0.7" top="0.75" bottom="0.75" header="0.3" footer="0.3"/>
  <pageSetup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R135"/>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9.00390625" defaultRowHeight="14.25"/>
  <cols>
    <col min="1" max="1" width="6.625" style="410" customWidth="1"/>
    <col min="2" max="2" width="2.50390625" style="410" customWidth="1"/>
    <col min="3" max="3" width="4.375" style="410" customWidth="1"/>
    <col min="4" max="4" width="9.00390625" style="411" customWidth="1"/>
    <col min="5" max="5" width="4.875" style="410" customWidth="1"/>
    <col min="6" max="6" width="18.125" style="410" customWidth="1"/>
    <col min="7" max="7" width="20.00390625" style="410" customWidth="1"/>
    <col min="8" max="8" width="6.125" style="410" customWidth="1"/>
    <col min="9" max="9" width="8.875" style="410" customWidth="1"/>
    <col min="10" max="10" width="7.375" style="410" customWidth="1"/>
    <col min="11" max="11" width="5.50390625" style="410" customWidth="1"/>
    <col min="12" max="12" width="6.375" style="410" customWidth="1"/>
    <col min="13" max="13" width="9.625" style="410" customWidth="1"/>
    <col min="14" max="14" width="6.375" style="410" customWidth="1"/>
    <col min="15" max="15" width="3.875" style="410" customWidth="1"/>
    <col min="16" max="16384" width="9.00390625" style="410" customWidth="1"/>
  </cols>
  <sheetData>
    <row r="1" ht="12.75">
      <c r="A1" s="517"/>
    </row>
    <row r="2" ht="12.75"/>
    <row r="3" ht="12.75"/>
    <row r="4" ht="12.75"/>
    <row r="5" spans="3:16" s="412" customFormat="1" ht="15" customHeight="1" thickBot="1">
      <c r="C5" s="410"/>
      <c r="D5" s="413"/>
      <c r="E5" s="414"/>
      <c r="F5" s="414"/>
      <c r="G5" s="414"/>
      <c r="H5" s="414"/>
      <c r="I5" s="414"/>
      <c r="J5" s="414"/>
      <c r="K5" s="414"/>
      <c r="L5" s="414"/>
      <c r="M5" s="414"/>
      <c r="N5" s="414"/>
      <c r="O5" s="414"/>
      <c r="P5" s="410"/>
    </row>
    <row r="6" spans="2:14" s="415" customFormat="1" ht="7.5" customHeight="1">
      <c r="B6" s="416"/>
      <c r="C6" s="417"/>
      <c r="D6" s="417"/>
      <c r="E6" s="417"/>
      <c r="F6" s="417"/>
      <c r="G6" s="417"/>
      <c r="H6" s="417"/>
      <c r="I6" s="417"/>
      <c r="J6" s="418"/>
      <c r="K6" s="417"/>
      <c r="L6" s="417"/>
      <c r="M6" s="417"/>
      <c r="N6" s="417"/>
    </row>
    <row r="7" spans="2:11" s="415" customFormat="1" ht="21" customHeight="1">
      <c r="B7" s="419" t="s">
        <v>296</v>
      </c>
      <c r="C7" s="420"/>
      <c r="D7" s="420"/>
      <c r="E7" s="420"/>
      <c r="F7" s="420"/>
      <c r="G7" s="420"/>
      <c r="H7" s="421"/>
      <c r="I7" s="421"/>
      <c r="J7" s="422"/>
      <c r="K7" s="421"/>
    </row>
    <row r="8" spans="3:16" s="412" customFormat="1" ht="10.5" customHeight="1">
      <c r="C8" s="423"/>
      <c r="D8" s="413"/>
      <c r="E8" s="414"/>
      <c r="F8" s="414"/>
      <c r="G8" s="523"/>
      <c r="H8" s="523"/>
      <c r="I8" s="414"/>
      <c r="J8" s="414"/>
      <c r="K8" s="414"/>
      <c r="L8" s="414"/>
      <c r="M8" s="414"/>
      <c r="N8" s="414"/>
      <c r="O8" s="414"/>
      <c r="P8" s="410"/>
    </row>
    <row r="9" spans="2:16" s="412" customFormat="1" ht="12.75">
      <c r="B9" s="423"/>
      <c r="C9" s="423"/>
      <c r="D9" s="413"/>
      <c r="E9" s="414"/>
      <c r="F9" s="414"/>
      <c r="G9" s="414"/>
      <c r="H9" s="414"/>
      <c r="I9" s="414"/>
      <c r="J9" s="414"/>
      <c r="K9" s="414"/>
      <c r="L9" s="414"/>
      <c r="M9" s="414"/>
      <c r="N9" s="414"/>
      <c r="O9" s="414"/>
      <c r="P9" s="410"/>
    </row>
    <row r="10" spans="2:16" s="412" customFormat="1" ht="24" customHeight="1">
      <c r="B10" s="423"/>
      <c r="C10" s="423"/>
      <c r="D10" s="557" t="s">
        <v>293</v>
      </c>
      <c r="E10" s="557"/>
      <c r="F10" s="557"/>
      <c r="G10" s="557"/>
      <c r="H10" s="557"/>
      <c r="I10" s="557"/>
      <c r="J10" s="557"/>
      <c r="K10" s="557"/>
      <c r="L10" s="557"/>
      <c r="M10" s="557"/>
      <c r="N10" s="557"/>
      <c r="O10" s="414"/>
      <c r="P10" s="410"/>
    </row>
    <row r="11" spans="2:16" s="412" customFormat="1" ht="9.75" customHeight="1">
      <c r="B11" s="423"/>
      <c r="C11" s="423"/>
      <c r="D11" s="413"/>
      <c r="E11" s="414"/>
      <c r="F11" s="414"/>
      <c r="G11" s="414"/>
      <c r="H11" s="414"/>
      <c r="I11" s="414"/>
      <c r="J11" s="414"/>
      <c r="K11" s="414"/>
      <c r="L11" s="414"/>
      <c r="M11" s="414"/>
      <c r="N11" s="414"/>
      <c r="O11" s="414"/>
      <c r="P11" s="410"/>
    </row>
    <row r="12" spans="2:16" s="412" customFormat="1" ht="18" customHeight="1">
      <c r="B12" s="423"/>
      <c r="C12" s="423"/>
      <c r="D12" s="553" t="s">
        <v>207</v>
      </c>
      <c r="E12" s="424" t="s">
        <v>206</v>
      </c>
      <c r="F12" s="424"/>
      <c r="G12" s="425"/>
      <c r="H12" s="425"/>
      <c r="I12" s="426"/>
      <c r="J12" s="426"/>
      <c r="K12" s="426"/>
      <c r="L12" s="426"/>
      <c r="M12" s="426"/>
      <c r="N12" s="427"/>
      <c r="O12" s="414"/>
      <c r="P12" s="410"/>
    </row>
    <row r="13" spans="2:16" s="428" customFormat="1" ht="24.75" customHeight="1">
      <c r="B13" s="429"/>
      <c r="C13" s="429"/>
      <c r="D13" s="558"/>
      <c r="E13" s="430"/>
      <c r="F13" s="430" t="s">
        <v>205</v>
      </c>
      <c r="G13" s="430"/>
      <c r="H13" s="430"/>
      <c r="I13" s="430"/>
      <c r="J13" s="430"/>
      <c r="K13" s="430"/>
      <c r="L13" s="430"/>
      <c r="M13" s="430"/>
      <c r="N13" s="431"/>
      <c r="O13" s="432"/>
      <c r="P13" s="433"/>
    </row>
    <row r="14" spans="2:18" s="428" customFormat="1" ht="24.75" customHeight="1">
      <c r="B14" s="429"/>
      <c r="C14" s="429"/>
      <c r="D14" s="558"/>
      <c r="E14" s="430"/>
      <c r="F14" s="430" t="s">
        <v>174</v>
      </c>
      <c r="G14" s="430"/>
      <c r="H14" s="430"/>
      <c r="I14" s="430"/>
      <c r="J14" s="430"/>
      <c r="K14" s="430"/>
      <c r="L14" s="430"/>
      <c r="M14" s="430"/>
      <c r="N14" s="431"/>
      <c r="O14" s="432"/>
      <c r="P14" s="433"/>
      <c r="R14" s="433"/>
    </row>
    <row r="15" spans="2:18" s="428" customFormat="1" ht="8.25" customHeight="1">
      <c r="B15" s="429"/>
      <c r="C15" s="429"/>
      <c r="D15" s="558"/>
      <c r="E15" s="430"/>
      <c r="F15" s="430"/>
      <c r="G15" s="430"/>
      <c r="H15" s="430"/>
      <c r="I15" s="430"/>
      <c r="J15" s="430"/>
      <c r="K15" s="430"/>
      <c r="L15" s="430"/>
      <c r="M15" s="430"/>
      <c r="N15" s="431"/>
      <c r="O15" s="432"/>
      <c r="P15" s="433"/>
      <c r="R15" s="433"/>
    </row>
    <row r="16" spans="2:16" s="428" customFormat="1" ht="18" customHeight="1">
      <c r="B16" s="429"/>
      <c r="C16" s="429"/>
      <c r="D16" s="558"/>
      <c r="E16" s="430"/>
      <c r="F16" s="430" t="s">
        <v>258</v>
      </c>
      <c r="G16" s="430"/>
      <c r="H16" s="430"/>
      <c r="I16" s="430"/>
      <c r="J16" s="430"/>
      <c r="K16" s="430"/>
      <c r="L16" s="430"/>
      <c r="M16" s="430"/>
      <c r="N16" s="431"/>
      <c r="O16" s="432"/>
      <c r="P16" s="433"/>
    </row>
    <row r="17" spans="2:16" s="428" customFormat="1" ht="6.75" customHeight="1">
      <c r="B17" s="429"/>
      <c r="C17" s="429"/>
      <c r="D17" s="558"/>
      <c r="E17" s="430"/>
      <c r="F17" s="430"/>
      <c r="G17" s="430"/>
      <c r="H17" s="430"/>
      <c r="I17" s="434"/>
      <c r="J17" s="430"/>
      <c r="K17" s="430"/>
      <c r="L17" s="430"/>
      <c r="M17" s="430"/>
      <c r="N17" s="431"/>
      <c r="O17" s="432"/>
      <c r="P17" s="433"/>
    </row>
    <row r="18" spans="2:16" s="428" customFormat="1" ht="18" customHeight="1">
      <c r="B18" s="429"/>
      <c r="C18" s="429"/>
      <c r="D18" s="558"/>
      <c r="E18" s="430"/>
      <c r="F18" s="430" t="s">
        <v>259</v>
      </c>
      <c r="G18" s="430"/>
      <c r="H18" s="430"/>
      <c r="I18" s="430"/>
      <c r="J18" s="430"/>
      <c r="K18" s="430"/>
      <c r="L18" s="430"/>
      <c r="M18" s="430"/>
      <c r="N18" s="431"/>
      <c r="O18" s="432"/>
      <c r="P18" s="433"/>
    </row>
    <row r="19" spans="2:16" s="428" customFormat="1" ht="9" customHeight="1">
      <c r="B19" s="429"/>
      <c r="C19" s="429"/>
      <c r="D19" s="558"/>
      <c r="E19" s="430"/>
      <c r="F19" s="430"/>
      <c r="G19" s="430"/>
      <c r="H19" s="430"/>
      <c r="I19" s="430"/>
      <c r="J19" s="430"/>
      <c r="K19" s="430"/>
      <c r="L19" s="430"/>
      <c r="M19" s="430"/>
      <c r="N19" s="431"/>
      <c r="O19" s="432"/>
      <c r="P19" s="433"/>
    </row>
    <row r="20" spans="2:16" s="428" customFormat="1" ht="24.75" customHeight="1">
      <c r="B20" s="429"/>
      <c r="C20" s="429"/>
      <c r="D20" s="558"/>
      <c r="E20" s="430"/>
      <c r="F20" s="430" t="s">
        <v>324</v>
      </c>
      <c r="G20" s="430"/>
      <c r="H20" s="430"/>
      <c r="I20" s="430"/>
      <c r="J20" s="430"/>
      <c r="K20" s="430"/>
      <c r="L20" s="430"/>
      <c r="M20" s="430"/>
      <c r="N20" s="431"/>
      <c r="O20" s="432"/>
      <c r="P20" s="433"/>
    </row>
    <row r="21" spans="2:16" s="428" customFormat="1" ht="4.5" customHeight="1">
      <c r="B21" s="429"/>
      <c r="C21" s="429"/>
      <c r="D21" s="558"/>
      <c r="E21" s="430"/>
      <c r="F21" s="430"/>
      <c r="G21" s="430"/>
      <c r="H21" s="430"/>
      <c r="I21" s="430"/>
      <c r="J21" s="430"/>
      <c r="K21" s="430"/>
      <c r="L21" s="430"/>
      <c r="M21" s="430"/>
      <c r="N21" s="431"/>
      <c r="O21" s="432"/>
      <c r="P21" s="433"/>
    </row>
    <row r="22" spans="2:16" s="428" customFormat="1" ht="21" customHeight="1">
      <c r="B22" s="429"/>
      <c r="C22" s="429"/>
      <c r="D22" s="558"/>
      <c r="E22" s="430"/>
      <c r="F22" s="430" t="s">
        <v>325</v>
      </c>
      <c r="G22" s="430"/>
      <c r="H22" s="430"/>
      <c r="I22" s="430"/>
      <c r="J22" s="430"/>
      <c r="K22" s="430"/>
      <c r="L22" s="430"/>
      <c r="M22" s="430"/>
      <c r="N22" s="431"/>
      <c r="O22" s="432"/>
      <c r="P22" s="433"/>
    </row>
    <row r="23" spans="2:15" s="428" customFormat="1" ht="13.5" customHeight="1">
      <c r="B23" s="429"/>
      <c r="C23" s="429"/>
      <c r="D23" s="559"/>
      <c r="E23" s="435"/>
      <c r="F23" s="436"/>
      <c r="G23" s="437"/>
      <c r="H23" s="437"/>
      <c r="I23" s="435"/>
      <c r="J23" s="435"/>
      <c r="K23" s="435"/>
      <c r="L23" s="435"/>
      <c r="M23" s="435"/>
      <c r="N23" s="438"/>
      <c r="O23" s="432"/>
    </row>
    <row r="24" spans="2:16" s="439" customFormat="1" ht="24.75" customHeight="1">
      <c r="B24" s="440"/>
      <c r="C24" s="440"/>
      <c r="D24" s="441"/>
      <c r="E24" s="442"/>
      <c r="F24" s="442"/>
      <c r="G24" s="442"/>
      <c r="H24" s="442"/>
      <c r="I24" s="556" t="s">
        <v>204</v>
      </c>
      <c r="J24" s="556"/>
      <c r="K24" s="443"/>
      <c r="L24" s="556" t="s">
        <v>203</v>
      </c>
      <c r="M24" s="556"/>
      <c r="N24" s="442"/>
      <c r="O24" s="442"/>
      <c r="P24" s="444"/>
    </row>
    <row r="25" spans="2:16" s="445" customFormat="1" ht="20.25" customHeight="1">
      <c r="B25" s="446"/>
      <c r="C25" s="446"/>
      <c r="D25" s="560" t="s">
        <v>63</v>
      </c>
      <c r="E25" s="560"/>
      <c r="F25" s="560"/>
      <c r="G25" s="560"/>
      <c r="H25" s="560"/>
      <c r="I25" s="560"/>
      <c r="J25" s="560"/>
      <c r="K25" s="560"/>
      <c r="L25" s="560"/>
      <c r="M25" s="560"/>
      <c r="N25" s="560"/>
      <c r="O25" s="447"/>
      <c r="P25" s="448"/>
    </row>
    <row r="26" spans="2:16" s="445" customFormat="1" ht="8.25" customHeight="1">
      <c r="B26" s="446"/>
      <c r="C26" s="446"/>
      <c r="D26" s="449"/>
      <c r="E26" s="449"/>
      <c r="F26" s="449"/>
      <c r="G26" s="449"/>
      <c r="H26" s="449"/>
      <c r="I26" s="449"/>
      <c r="J26" s="449"/>
      <c r="K26" s="449"/>
      <c r="L26" s="449"/>
      <c r="M26" s="449"/>
      <c r="N26" s="449"/>
      <c r="O26" s="447"/>
      <c r="P26" s="448"/>
    </row>
    <row r="27" spans="2:15" ht="9" customHeight="1">
      <c r="B27" s="450"/>
      <c r="C27" s="450"/>
      <c r="D27" s="550" t="s">
        <v>202</v>
      </c>
      <c r="E27" s="451"/>
      <c r="F27" s="451"/>
      <c r="G27" s="451"/>
      <c r="H27" s="451"/>
      <c r="I27" s="451"/>
      <c r="J27" s="451"/>
      <c r="K27" s="451"/>
      <c r="L27" s="451"/>
      <c r="M27" s="451"/>
      <c r="N27" s="452"/>
      <c r="O27" s="450"/>
    </row>
    <row r="28" spans="2:15" ht="15.75" customHeight="1">
      <c r="B28" s="450"/>
      <c r="C28" s="450"/>
      <c r="D28" s="551"/>
      <c r="E28" s="430"/>
      <c r="F28" s="430" t="s">
        <v>199</v>
      </c>
      <c r="G28" s="430"/>
      <c r="H28" s="430"/>
      <c r="I28" s="547"/>
      <c r="J28" s="548"/>
      <c r="K28" s="430"/>
      <c r="L28" s="547"/>
      <c r="M28" s="548"/>
      <c r="N28" s="431"/>
      <c r="O28" s="450"/>
    </row>
    <row r="29" spans="2:15" ht="3" customHeight="1">
      <c r="B29" s="450"/>
      <c r="C29" s="450"/>
      <c r="D29" s="551"/>
      <c r="E29" s="430"/>
      <c r="F29" s="430"/>
      <c r="G29" s="430"/>
      <c r="H29" s="430"/>
      <c r="I29" s="430"/>
      <c r="J29" s="430"/>
      <c r="K29" s="430"/>
      <c r="L29" s="430"/>
      <c r="M29" s="430"/>
      <c r="N29" s="431"/>
      <c r="O29" s="450"/>
    </row>
    <row r="30" spans="2:15" ht="15.75" customHeight="1">
      <c r="B30" s="450"/>
      <c r="C30" s="450"/>
      <c r="D30" s="551"/>
      <c r="E30" s="430"/>
      <c r="F30" s="430" t="s">
        <v>198</v>
      </c>
      <c r="G30" s="430"/>
      <c r="H30" s="430"/>
      <c r="I30" s="547"/>
      <c r="J30" s="548"/>
      <c r="K30" s="430"/>
      <c r="L30" s="547"/>
      <c r="M30" s="548"/>
      <c r="N30" s="431"/>
      <c r="O30" s="450"/>
    </row>
    <row r="31" spans="2:15" ht="3" customHeight="1">
      <c r="B31" s="450"/>
      <c r="C31" s="450"/>
      <c r="D31" s="551"/>
      <c r="E31" s="430"/>
      <c r="F31" s="430"/>
      <c r="G31" s="430"/>
      <c r="H31" s="430"/>
      <c r="I31" s="430"/>
      <c r="J31" s="430"/>
      <c r="K31" s="430"/>
      <c r="L31" s="430"/>
      <c r="M31" s="430"/>
      <c r="N31" s="431"/>
      <c r="O31" s="450"/>
    </row>
    <row r="32" spans="2:15" ht="15.75" customHeight="1">
      <c r="B32" s="450"/>
      <c r="C32" s="450"/>
      <c r="D32" s="551"/>
      <c r="E32" s="430"/>
      <c r="F32" s="430" t="s">
        <v>260</v>
      </c>
      <c r="G32" s="430"/>
      <c r="H32" s="430"/>
      <c r="I32" s="547"/>
      <c r="J32" s="548"/>
      <c r="K32" s="430"/>
      <c r="L32" s="547"/>
      <c r="M32" s="548"/>
      <c r="N32" s="431"/>
      <c r="O32" s="450"/>
    </row>
    <row r="33" spans="2:15" ht="9.75" customHeight="1">
      <c r="B33" s="450"/>
      <c r="C33" s="450"/>
      <c r="D33" s="552"/>
      <c r="E33" s="435"/>
      <c r="F33" s="435"/>
      <c r="G33" s="435"/>
      <c r="H33" s="435"/>
      <c r="I33" s="435"/>
      <c r="J33" s="435"/>
      <c r="K33" s="435"/>
      <c r="L33" s="435"/>
      <c r="M33" s="435"/>
      <c r="N33" s="438"/>
      <c r="O33" s="450"/>
    </row>
    <row r="34" spans="2:15" ht="9" customHeight="1">
      <c r="B34" s="450"/>
      <c r="C34" s="450"/>
      <c r="D34" s="453"/>
      <c r="E34" s="450"/>
      <c r="F34" s="450"/>
      <c r="G34" s="450"/>
      <c r="H34" s="450"/>
      <c r="I34" s="450"/>
      <c r="J34" s="450"/>
      <c r="K34" s="450"/>
      <c r="L34" s="450"/>
      <c r="M34" s="450"/>
      <c r="N34" s="450"/>
      <c r="O34" s="450"/>
    </row>
    <row r="35" spans="2:15" ht="9" customHeight="1">
      <c r="B35" s="450"/>
      <c r="C35" s="450"/>
      <c r="D35" s="550" t="s">
        <v>201</v>
      </c>
      <c r="E35" s="451"/>
      <c r="F35" s="451"/>
      <c r="G35" s="451"/>
      <c r="H35" s="451"/>
      <c r="I35" s="451"/>
      <c r="J35" s="451"/>
      <c r="K35" s="451"/>
      <c r="L35" s="451"/>
      <c r="M35" s="451"/>
      <c r="N35" s="452"/>
      <c r="O35" s="450"/>
    </row>
    <row r="36" spans="2:15" ht="16.5" customHeight="1">
      <c r="B36" s="450"/>
      <c r="C36" s="450"/>
      <c r="D36" s="551"/>
      <c r="E36" s="430"/>
      <c r="F36" s="454" t="s">
        <v>234</v>
      </c>
      <c r="G36" s="430"/>
      <c r="H36" s="430"/>
      <c r="I36" s="430"/>
      <c r="J36" s="430"/>
      <c r="K36" s="430"/>
      <c r="L36" s="430"/>
      <c r="M36" s="430"/>
      <c r="N36" s="431"/>
      <c r="O36" s="450"/>
    </row>
    <row r="37" spans="2:15" ht="16.5" customHeight="1">
      <c r="B37" s="450"/>
      <c r="C37" s="450"/>
      <c r="D37" s="551"/>
      <c r="E37" s="430"/>
      <c r="F37" s="455" t="s">
        <v>61</v>
      </c>
      <c r="G37" s="430"/>
      <c r="H37" s="430"/>
      <c r="I37" s="547"/>
      <c r="J37" s="548"/>
      <c r="K37" s="430"/>
      <c r="L37" s="547"/>
      <c r="M37" s="548"/>
      <c r="N37" s="431"/>
      <c r="O37" s="450"/>
    </row>
    <row r="38" spans="2:15" ht="2.25" customHeight="1">
      <c r="B38" s="450"/>
      <c r="C38" s="450"/>
      <c r="D38" s="551"/>
      <c r="E38" s="430"/>
      <c r="F38" s="455"/>
      <c r="G38" s="430"/>
      <c r="H38" s="430"/>
      <c r="I38" s="430"/>
      <c r="J38" s="430"/>
      <c r="K38" s="430"/>
      <c r="L38" s="430"/>
      <c r="M38" s="430"/>
      <c r="N38" s="431"/>
      <c r="O38" s="450"/>
    </row>
    <row r="39" spans="2:15" ht="16.5" customHeight="1">
      <c r="B39" s="450"/>
      <c r="C39" s="450"/>
      <c r="D39" s="551"/>
      <c r="E39" s="430"/>
      <c r="F39" s="455" t="s">
        <v>40</v>
      </c>
      <c r="G39" s="430"/>
      <c r="H39" s="430"/>
      <c r="I39" s="547"/>
      <c r="J39" s="548"/>
      <c r="K39" s="430"/>
      <c r="L39" s="547"/>
      <c r="M39" s="548"/>
      <c r="N39" s="431"/>
      <c r="O39" s="450"/>
    </row>
    <row r="40" spans="2:15" ht="3.75" customHeight="1">
      <c r="B40" s="450"/>
      <c r="C40" s="450"/>
      <c r="D40" s="551"/>
      <c r="E40" s="430"/>
      <c r="F40" s="430"/>
      <c r="G40" s="430"/>
      <c r="H40" s="430"/>
      <c r="I40" s="430"/>
      <c r="J40" s="430"/>
      <c r="K40" s="430"/>
      <c r="L40" s="430"/>
      <c r="M40" s="430"/>
      <c r="N40" s="431"/>
      <c r="O40" s="450"/>
    </row>
    <row r="41" spans="2:15" ht="16.5" customHeight="1">
      <c r="B41" s="450"/>
      <c r="C41" s="450"/>
      <c r="D41" s="551"/>
      <c r="E41" s="430"/>
      <c r="F41" s="454" t="s">
        <v>214</v>
      </c>
      <c r="G41" s="430"/>
      <c r="H41" s="430"/>
      <c r="I41" s="547"/>
      <c r="J41" s="548"/>
      <c r="K41" s="430"/>
      <c r="L41" s="547"/>
      <c r="M41" s="548"/>
      <c r="N41" s="431"/>
      <c r="O41" s="450"/>
    </row>
    <row r="42" spans="2:15" ht="3" customHeight="1">
      <c r="B42" s="450"/>
      <c r="C42" s="450"/>
      <c r="D42" s="551"/>
      <c r="E42" s="430"/>
      <c r="F42" s="430"/>
      <c r="G42" s="430"/>
      <c r="H42" s="430"/>
      <c r="I42" s="430"/>
      <c r="J42" s="430"/>
      <c r="K42" s="430"/>
      <c r="L42" s="430"/>
      <c r="M42" s="430"/>
      <c r="N42" s="431"/>
      <c r="O42" s="450"/>
    </row>
    <row r="43" spans="2:15" ht="16.5" customHeight="1">
      <c r="B43" s="450"/>
      <c r="C43" s="450"/>
      <c r="D43" s="551"/>
      <c r="E43" s="430"/>
      <c r="F43" s="430" t="s">
        <v>261</v>
      </c>
      <c r="G43" s="430"/>
      <c r="H43" s="430"/>
      <c r="I43" s="547"/>
      <c r="J43" s="548"/>
      <c r="K43" s="430"/>
      <c r="L43" s="547"/>
      <c r="M43" s="548"/>
      <c r="N43" s="431"/>
      <c r="O43" s="450"/>
    </row>
    <row r="44" spans="2:15" ht="8.25" customHeight="1">
      <c r="B44" s="450"/>
      <c r="C44" s="450"/>
      <c r="D44" s="552"/>
      <c r="E44" s="435"/>
      <c r="F44" s="435"/>
      <c r="G44" s="435"/>
      <c r="H44" s="435"/>
      <c r="I44" s="435"/>
      <c r="J44" s="435"/>
      <c r="K44" s="435"/>
      <c r="L44" s="435"/>
      <c r="M44" s="435"/>
      <c r="N44" s="438"/>
      <c r="O44" s="450"/>
    </row>
    <row r="45" spans="2:15" ht="9" customHeight="1">
      <c r="B45" s="450"/>
      <c r="C45" s="450"/>
      <c r="D45" s="453"/>
      <c r="E45" s="450"/>
      <c r="F45" s="450"/>
      <c r="G45" s="450"/>
      <c r="H45" s="450"/>
      <c r="I45" s="450"/>
      <c r="J45" s="450"/>
      <c r="K45" s="450"/>
      <c r="L45" s="450"/>
      <c r="M45" s="450"/>
      <c r="N45" s="450"/>
      <c r="O45" s="450"/>
    </row>
    <row r="46" spans="2:15" ht="8.25" customHeight="1">
      <c r="B46" s="450"/>
      <c r="C46" s="450"/>
      <c r="D46" s="550" t="s">
        <v>200</v>
      </c>
      <c r="E46" s="451"/>
      <c r="F46" s="451"/>
      <c r="G46" s="451"/>
      <c r="H46" s="451"/>
      <c r="I46" s="451"/>
      <c r="J46" s="451"/>
      <c r="K46" s="451"/>
      <c r="L46" s="451"/>
      <c r="M46" s="451"/>
      <c r="N46" s="452"/>
      <c r="O46" s="450"/>
    </row>
    <row r="47" spans="2:15" ht="15.75" customHeight="1">
      <c r="B47" s="450"/>
      <c r="C47" s="450"/>
      <c r="D47" s="551"/>
      <c r="E47" s="430"/>
      <c r="F47" s="430" t="s">
        <v>213</v>
      </c>
      <c r="G47" s="430"/>
      <c r="H47" s="430"/>
      <c r="I47" s="547"/>
      <c r="J47" s="548"/>
      <c r="K47" s="430"/>
      <c r="L47" s="547"/>
      <c r="M47" s="548"/>
      <c r="N47" s="431"/>
      <c r="O47" s="450"/>
    </row>
    <row r="48" spans="2:15" ht="3" customHeight="1">
      <c r="B48" s="450"/>
      <c r="C48" s="450"/>
      <c r="D48" s="551"/>
      <c r="E48" s="430"/>
      <c r="F48" s="430"/>
      <c r="G48" s="430"/>
      <c r="H48" s="430"/>
      <c r="I48" s="430"/>
      <c r="J48" s="430"/>
      <c r="K48" s="430"/>
      <c r="L48" s="430"/>
      <c r="M48" s="430"/>
      <c r="N48" s="431"/>
      <c r="O48" s="450"/>
    </row>
    <row r="49" spans="2:15" ht="15.75" customHeight="1">
      <c r="B49" s="450"/>
      <c r="C49" s="450"/>
      <c r="D49" s="551"/>
      <c r="E49" s="430"/>
      <c r="F49" s="430" t="s">
        <v>211</v>
      </c>
      <c r="G49" s="430"/>
      <c r="H49" s="430"/>
      <c r="I49" s="547"/>
      <c r="J49" s="548"/>
      <c r="K49" s="430"/>
      <c r="L49" s="547"/>
      <c r="M49" s="548"/>
      <c r="N49" s="431"/>
      <c r="O49" s="450"/>
    </row>
    <row r="50" spans="2:15" ht="3" customHeight="1">
      <c r="B50" s="450"/>
      <c r="C50" s="450"/>
      <c r="D50" s="551"/>
      <c r="E50" s="430"/>
      <c r="F50" s="430"/>
      <c r="G50" s="430"/>
      <c r="H50" s="430"/>
      <c r="I50" s="430"/>
      <c r="J50" s="430"/>
      <c r="K50" s="430"/>
      <c r="L50" s="430"/>
      <c r="M50" s="430"/>
      <c r="N50" s="431"/>
      <c r="O50" s="450"/>
    </row>
    <row r="51" spans="2:15" ht="15.75" customHeight="1">
      <c r="B51" s="450"/>
      <c r="C51" s="450"/>
      <c r="D51" s="551"/>
      <c r="E51" s="430"/>
      <c r="F51" s="430" t="s">
        <v>260</v>
      </c>
      <c r="G51" s="430"/>
      <c r="H51" s="430"/>
      <c r="I51" s="547"/>
      <c r="J51" s="548"/>
      <c r="K51" s="430"/>
      <c r="L51" s="547"/>
      <c r="M51" s="548"/>
      <c r="N51" s="431"/>
      <c r="O51" s="450"/>
    </row>
    <row r="52" spans="2:15" ht="9.75" customHeight="1">
      <c r="B52" s="450"/>
      <c r="C52" s="450"/>
      <c r="D52" s="552"/>
      <c r="E52" s="435"/>
      <c r="F52" s="435"/>
      <c r="G52" s="435"/>
      <c r="H52" s="435"/>
      <c r="I52" s="435"/>
      <c r="J52" s="435"/>
      <c r="K52" s="435"/>
      <c r="L52" s="435"/>
      <c r="M52" s="435"/>
      <c r="N52" s="438"/>
      <c r="O52" s="450"/>
    </row>
    <row r="53" spans="2:15" ht="9" customHeight="1">
      <c r="B53" s="450"/>
      <c r="C53" s="450"/>
      <c r="D53" s="453"/>
      <c r="E53" s="450"/>
      <c r="F53" s="456"/>
      <c r="G53" s="456"/>
      <c r="H53" s="450"/>
      <c r="I53" s="450"/>
      <c r="J53" s="450"/>
      <c r="K53" s="450"/>
      <c r="L53" s="450"/>
      <c r="M53" s="450"/>
      <c r="N53" s="450"/>
      <c r="O53" s="450"/>
    </row>
    <row r="54" spans="2:15" ht="9" customHeight="1">
      <c r="B54" s="450"/>
      <c r="C54" s="450"/>
      <c r="D54" s="550" t="s">
        <v>197</v>
      </c>
      <c r="E54" s="451"/>
      <c r="F54" s="451"/>
      <c r="G54" s="451"/>
      <c r="H54" s="451"/>
      <c r="I54" s="451"/>
      <c r="J54" s="451"/>
      <c r="K54" s="451"/>
      <c r="L54" s="451"/>
      <c r="M54" s="451"/>
      <c r="N54" s="452"/>
      <c r="O54" s="450"/>
    </row>
    <row r="55" spans="2:15" ht="15.75" customHeight="1">
      <c r="B55" s="450"/>
      <c r="C55" s="450"/>
      <c r="D55" s="551"/>
      <c r="E55" s="430"/>
      <c r="F55" s="430" t="s">
        <v>5</v>
      </c>
      <c r="G55" s="430"/>
      <c r="H55" s="430"/>
      <c r="I55" s="547"/>
      <c r="J55" s="548"/>
      <c r="K55" s="430"/>
      <c r="L55" s="547"/>
      <c r="M55" s="548"/>
      <c r="N55" s="431"/>
      <c r="O55" s="450"/>
    </row>
    <row r="56" spans="2:15" ht="3" customHeight="1">
      <c r="B56" s="450"/>
      <c r="C56" s="450"/>
      <c r="D56" s="551"/>
      <c r="E56" s="430"/>
      <c r="F56" s="430"/>
      <c r="G56" s="430"/>
      <c r="H56" s="430"/>
      <c r="I56" s="430"/>
      <c r="J56" s="430"/>
      <c r="K56" s="430"/>
      <c r="L56" s="430"/>
      <c r="M56" s="430"/>
      <c r="N56" s="431"/>
      <c r="O56" s="450"/>
    </row>
    <row r="57" spans="2:15" ht="15.75" customHeight="1">
      <c r="B57" s="450"/>
      <c r="C57" s="450"/>
      <c r="D57" s="551"/>
      <c r="E57" s="430"/>
      <c r="F57" s="430" t="s">
        <v>260</v>
      </c>
      <c r="G57" s="430"/>
      <c r="H57" s="430"/>
      <c r="I57" s="547"/>
      <c r="J57" s="548"/>
      <c r="K57" s="430"/>
      <c r="L57" s="547"/>
      <c r="M57" s="548"/>
      <c r="N57" s="431"/>
      <c r="O57" s="450"/>
    </row>
    <row r="58" spans="2:15" ht="9.75" customHeight="1">
      <c r="B58" s="450"/>
      <c r="C58" s="450"/>
      <c r="D58" s="552"/>
      <c r="E58" s="435"/>
      <c r="F58" s="435"/>
      <c r="G58" s="435"/>
      <c r="H58" s="435"/>
      <c r="I58" s="435"/>
      <c r="J58" s="435"/>
      <c r="K58" s="435"/>
      <c r="L58" s="435"/>
      <c r="M58" s="435"/>
      <c r="N58" s="438"/>
      <c r="O58" s="450"/>
    </row>
    <row r="59" spans="2:15" ht="9" customHeight="1">
      <c r="B59" s="450"/>
      <c r="C59" s="450"/>
      <c r="D59" s="453"/>
      <c r="E59" s="450"/>
      <c r="F59" s="450"/>
      <c r="G59" s="450"/>
      <c r="H59" s="450"/>
      <c r="I59" s="450"/>
      <c r="J59" s="450"/>
      <c r="K59" s="450"/>
      <c r="L59" s="450"/>
      <c r="M59" s="450"/>
      <c r="N59" s="450"/>
      <c r="O59" s="450"/>
    </row>
    <row r="60" spans="2:16" s="445" customFormat="1" ht="20.25" customHeight="1">
      <c r="B60" s="446"/>
      <c r="C60" s="446"/>
      <c r="D60" s="560" t="s">
        <v>196</v>
      </c>
      <c r="E60" s="560"/>
      <c r="F60" s="560"/>
      <c r="G60" s="560"/>
      <c r="H60" s="560"/>
      <c r="I60" s="560"/>
      <c r="J60" s="560"/>
      <c r="K60" s="560"/>
      <c r="L60" s="560"/>
      <c r="M60" s="560"/>
      <c r="N60" s="560"/>
      <c r="O60" s="447"/>
      <c r="P60" s="448"/>
    </row>
    <row r="61" spans="2:15" ht="6.75" customHeight="1">
      <c r="B61" s="450"/>
      <c r="C61" s="450"/>
      <c r="D61" s="453"/>
      <c r="E61" s="450"/>
      <c r="F61" s="450"/>
      <c r="G61" s="450"/>
      <c r="H61" s="450"/>
      <c r="I61" s="450"/>
      <c r="J61" s="450"/>
      <c r="K61" s="450"/>
      <c r="L61" s="450"/>
      <c r="M61" s="450"/>
      <c r="N61" s="450"/>
      <c r="O61" s="450"/>
    </row>
    <row r="62" spans="2:15" ht="9" customHeight="1">
      <c r="B62" s="450"/>
      <c r="C62" s="450"/>
      <c r="D62" s="553" t="s">
        <v>62</v>
      </c>
      <c r="E62" s="451"/>
      <c r="F62" s="451"/>
      <c r="G62" s="451"/>
      <c r="H62" s="451"/>
      <c r="I62" s="451"/>
      <c r="J62" s="451"/>
      <c r="K62" s="451"/>
      <c r="L62" s="451"/>
      <c r="M62" s="451"/>
      <c r="N62" s="452"/>
      <c r="O62" s="450"/>
    </row>
    <row r="63" spans="2:15" ht="15.75" customHeight="1">
      <c r="B63" s="450"/>
      <c r="C63" s="450"/>
      <c r="D63" s="554"/>
      <c r="E63" s="430"/>
      <c r="F63" s="430" t="s">
        <v>263</v>
      </c>
      <c r="G63" s="430"/>
      <c r="H63" s="430"/>
      <c r="I63" s="430"/>
      <c r="J63" s="547"/>
      <c r="K63" s="549"/>
      <c r="L63" s="548"/>
      <c r="M63" s="430"/>
      <c r="N63" s="431"/>
      <c r="O63" s="450"/>
    </row>
    <row r="64" spans="2:15" ht="3" customHeight="1">
      <c r="B64" s="450"/>
      <c r="C64" s="450"/>
      <c r="D64" s="554"/>
      <c r="E64" s="430"/>
      <c r="F64" s="430"/>
      <c r="G64" s="430"/>
      <c r="H64" s="430"/>
      <c r="I64" s="430"/>
      <c r="J64" s="430"/>
      <c r="K64" s="430"/>
      <c r="L64" s="430"/>
      <c r="M64" s="430"/>
      <c r="N64" s="431"/>
      <c r="O64" s="450"/>
    </row>
    <row r="65" spans="2:15" ht="15.75" customHeight="1">
      <c r="B65" s="450"/>
      <c r="C65" s="450"/>
      <c r="D65" s="554"/>
      <c r="E65" s="430"/>
      <c r="F65" s="430" t="s">
        <v>7</v>
      </c>
      <c r="G65" s="430"/>
      <c r="H65" s="430"/>
      <c r="I65" s="430"/>
      <c r="J65" s="547"/>
      <c r="K65" s="549"/>
      <c r="L65" s="548"/>
      <c r="M65" s="430"/>
      <c r="N65" s="431"/>
      <c r="O65" s="450"/>
    </row>
    <row r="66" spans="2:15" ht="1.5" customHeight="1">
      <c r="B66" s="450"/>
      <c r="C66" s="450"/>
      <c r="D66" s="554"/>
      <c r="E66" s="430"/>
      <c r="F66" s="430"/>
      <c r="G66" s="430"/>
      <c r="H66" s="430"/>
      <c r="I66" s="430"/>
      <c r="J66" s="430"/>
      <c r="K66" s="430"/>
      <c r="L66" s="430"/>
      <c r="M66" s="430"/>
      <c r="N66" s="431"/>
      <c r="O66" s="450"/>
    </row>
    <row r="67" spans="2:15" ht="15.75" customHeight="1">
      <c r="B67" s="450"/>
      <c r="C67" s="450"/>
      <c r="D67" s="554"/>
      <c r="E67" s="430"/>
      <c r="F67" s="457" t="s">
        <v>208</v>
      </c>
      <c r="G67" s="430"/>
      <c r="H67" s="430"/>
      <c r="I67" s="430"/>
      <c r="J67" s="516"/>
      <c r="K67" s="458"/>
      <c r="L67" s="430"/>
      <c r="M67" s="430"/>
      <c r="N67" s="431"/>
      <c r="O67" s="450"/>
    </row>
    <row r="68" spans="2:15" ht="3" customHeight="1">
      <c r="B68" s="450"/>
      <c r="C68" s="450"/>
      <c r="D68" s="554"/>
      <c r="E68" s="430"/>
      <c r="F68" s="430"/>
      <c r="G68" s="430"/>
      <c r="H68" s="430"/>
      <c r="I68" s="430"/>
      <c r="J68" s="430"/>
      <c r="K68" s="430"/>
      <c r="L68" s="430"/>
      <c r="M68" s="430"/>
      <c r="N68" s="431"/>
      <c r="O68" s="450"/>
    </row>
    <row r="69" spans="2:15" ht="15.75" customHeight="1">
      <c r="B69" s="450"/>
      <c r="C69" s="450"/>
      <c r="D69" s="554"/>
      <c r="E69" s="430"/>
      <c r="F69" s="430" t="s">
        <v>194</v>
      </c>
      <c r="G69" s="430"/>
      <c r="H69" s="430"/>
      <c r="I69" s="430"/>
      <c r="J69" s="430"/>
      <c r="K69" s="430"/>
      <c r="L69" s="430"/>
      <c r="M69" s="430"/>
      <c r="N69" s="431"/>
      <c r="O69" s="450"/>
    </row>
    <row r="70" spans="2:15" ht="1.5" customHeight="1">
      <c r="B70" s="450"/>
      <c r="C70" s="450"/>
      <c r="D70" s="554"/>
      <c r="E70" s="430"/>
      <c r="F70" s="430"/>
      <c r="G70" s="430"/>
      <c r="H70" s="430"/>
      <c r="I70" s="430"/>
      <c r="J70" s="430"/>
      <c r="K70" s="430"/>
      <c r="L70" s="430"/>
      <c r="M70" s="430"/>
      <c r="N70" s="431"/>
      <c r="O70" s="450"/>
    </row>
    <row r="71" spans="2:15" ht="15.75" customHeight="1">
      <c r="B71" s="450"/>
      <c r="C71" s="450"/>
      <c r="D71" s="554"/>
      <c r="E71" s="430"/>
      <c r="F71" s="430" t="s">
        <v>209</v>
      </c>
      <c r="G71" s="430"/>
      <c r="H71" s="430"/>
      <c r="I71" s="430"/>
      <c r="J71" s="547"/>
      <c r="K71" s="549"/>
      <c r="L71" s="548"/>
      <c r="M71" s="430"/>
      <c r="N71" s="431"/>
      <c r="O71" s="450"/>
    </row>
    <row r="72" spans="2:15" ht="1.5" customHeight="1">
      <c r="B72" s="450"/>
      <c r="C72" s="450"/>
      <c r="D72" s="554"/>
      <c r="E72" s="430"/>
      <c r="F72" s="430"/>
      <c r="G72" s="430"/>
      <c r="H72" s="430"/>
      <c r="I72" s="430"/>
      <c r="J72" s="430"/>
      <c r="K72" s="430"/>
      <c r="L72" s="430"/>
      <c r="M72" s="430"/>
      <c r="N72" s="431"/>
      <c r="O72" s="450"/>
    </row>
    <row r="73" spans="2:15" ht="15.75" customHeight="1">
      <c r="B73" s="450"/>
      <c r="C73" s="450"/>
      <c r="D73" s="554"/>
      <c r="E73" s="430"/>
      <c r="F73" s="430" t="s">
        <v>210</v>
      </c>
      <c r="G73" s="430"/>
      <c r="H73" s="430"/>
      <c r="I73" s="430"/>
      <c r="J73" s="547"/>
      <c r="K73" s="549"/>
      <c r="L73" s="548"/>
      <c r="M73" s="430"/>
      <c r="N73" s="431"/>
      <c r="O73" s="450"/>
    </row>
    <row r="74" spans="2:15" ht="3" customHeight="1">
      <c r="B74" s="450"/>
      <c r="C74" s="450"/>
      <c r="D74" s="554"/>
      <c r="E74" s="430"/>
      <c r="F74" s="430"/>
      <c r="G74" s="430"/>
      <c r="H74" s="430"/>
      <c r="I74" s="430"/>
      <c r="J74" s="430"/>
      <c r="K74" s="430"/>
      <c r="L74" s="430"/>
      <c r="M74" s="430"/>
      <c r="N74" s="431"/>
      <c r="O74" s="450"/>
    </row>
    <row r="75" spans="2:15" ht="15.75" customHeight="1">
      <c r="B75" s="450"/>
      <c r="C75" s="450"/>
      <c r="D75" s="554"/>
      <c r="E75" s="430"/>
      <c r="F75" s="430" t="s">
        <v>229</v>
      </c>
      <c r="G75" s="430"/>
      <c r="H75" s="430"/>
      <c r="I75" s="430"/>
      <c r="J75" s="547"/>
      <c r="K75" s="549"/>
      <c r="L75" s="548"/>
      <c r="M75" s="430"/>
      <c r="N75" s="431"/>
      <c r="O75" s="450"/>
    </row>
    <row r="76" spans="2:15" ht="3" customHeight="1">
      <c r="B76" s="450"/>
      <c r="C76" s="450"/>
      <c r="D76" s="554"/>
      <c r="E76" s="430"/>
      <c r="F76" s="430"/>
      <c r="G76" s="430"/>
      <c r="H76" s="430"/>
      <c r="I76" s="430"/>
      <c r="J76" s="430"/>
      <c r="K76" s="430"/>
      <c r="L76" s="430"/>
      <c r="M76" s="430"/>
      <c r="N76" s="431"/>
      <c r="O76" s="450"/>
    </row>
    <row r="77" spans="2:15" ht="15.75" customHeight="1">
      <c r="B77" s="450"/>
      <c r="C77" s="450"/>
      <c r="D77" s="554"/>
      <c r="E77" s="430"/>
      <c r="F77" s="430" t="s">
        <v>262</v>
      </c>
      <c r="G77" s="430"/>
      <c r="H77" s="430"/>
      <c r="I77" s="430"/>
      <c r="J77" s="547"/>
      <c r="K77" s="549"/>
      <c r="L77" s="548"/>
      <c r="M77" s="430"/>
      <c r="N77" s="431"/>
      <c r="O77" s="450"/>
    </row>
    <row r="78" spans="2:15" ht="1.5" customHeight="1">
      <c r="B78" s="450"/>
      <c r="C78" s="450"/>
      <c r="D78" s="554"/>
      <c r="E78" s="430"/>
      <c r="F78" s="430"/>
      <c r="G78" s="430"/>
      <c r="H78" s="430"/>
      <c r="I78" s="430"/>
      <c r="J78" s="430"/>
      <c r="K78" s="430"/>
      <c r="L78" s="430"/>
      <c r="M78" s="430"/>
      <c r="N78" s="431"/>
      <c r="O78" s="450"/>
    </row>
    <row r="79" spans="2:15" ht="15.75" customHeight="1">
      <c r="B79" s="450"/>
      <c r="C79" s="450"/>
      <c r="D79" s="554"/>
      <c r="E79" s="430"/>
      <c r="F79" s="457" t="s">
        <v>257</v>
      </c>
      <c r="G79" s="430"/>
      <c r="H79" s="430"/>
      <c r="I79" s="430"/>
      <c r="J79" s="516"/>
      <c r="K79" s="430"/>
      <c r="L79" s="430"/>
      <c r="M79" s="430"/>
      <c r="N79" s="431"/>
      <c r="O79" s="450"/>
    </row>
    <row r="80" spans="2:15" ht="3" customHeight="1">
      <c r="B80" s="450"/>
      <c r="C80" s="450"/>
      <c r="D80" s="554"/>
      <c r="E80" s="430"/>
      <c r="F80" s="430"/>
      <c r="G80" s="430"/>
      <c r="H80" s="430"/>
      <c r="I80" s="430"/>
      <c r="J80" s="430"/>
      <c r="K80" s="430"/>
      <c r="L80" s="430"/>
      <c r="M80" s="430"/>
      <c r="N80" s="431"/>
      <c r="O80" s="450"/>
    </row>
    <row r="81" spans="2:15" ht="15.75" customHeight="1">
      <c r="B81" s="450"/>
      <c r="C81" s="450"/>
      <c r="D81" s="554"/>
      <c r="E81" s="430"/>
      <c r="F81" s="430" t="s">
        <v>212</v>
      </c>
      <c r="G81" s="430"/>
      <c r="H81" s="430"/>
      <c r="I81" s="430"/>
      <c r="J81" s="547"/>
      <c r="K81" s="549"/>
      <c r="L81" s="548"/>
      <c r="M81" s="430"/>
      <c r="N81" s="431"/>
      <c r="O81" s="450"/>
    </row>
    <row r="82" spans="2:15" ht="9.75" customHeight="1">
      <c r="B82" s="450"/>
      <c r="C82" s="450"/>
      <c r="D82" s="555"/>
      <c r="E82" s="435"/>
      <c r="F82" s="435"/>
      <c r="G82" s="435"/>
      <c r="H82" s="435"/>
      <c r="I82" s="435"/>
      <c r="J82" s="435"/>
      <c r="K82" s="435"/>
      <c r="L82" s="435"/>
      <c r="M82" s="435"/>
      <c r="N82" s="438"/>
      <c r="O82" s="450"/>
    </row>
    <row r="83" spans="2:15" s="459" customFormat="1" ht="8.25" customHeight="1">
      <c r="B83" s="460"/>
      <c r="C83" s="460"/>
      <c r="D83" s="461"/>
      <c r="E83" s="460"/>
      <c r="F83" s="450"/>
      <c r="G83" s="450"/>
      <c r="H83" s="460"/>
      <c r="I83" s="460"/>
      <c r="J83" s="460"/>
      <c r="K83" s="460"/>
      <c r="L83" s="460"/>
      <c r="M83" s="460"/>
      <c r="N83" s="460"/>
      <c r="O83" s="460"/>
    </row>
    <row r="84" spans="2:15" ht="9" customHeight="1">
      <c r="B84" s="450"/>
      <c r="C84" s="450"/>
      <c r="D84" s="550" t="s">
        <v>116</v>
      </c>
      <c r="E84" s="451"/>
      <c r="F84" s="451"/>
      <c r="G84" s="451"/>
      <c r="H84" s="451"/>
      <c r="I84" s="451"/>
      <c r="J84" s="451"/>
      <c r="K84" s="451"/>
      <c r="L84" s="451"/>
      <c r="M84" s="451"/>
      <c r="N84" s="452"/>
      <c r="O84" s="450"/>
    </row>
    <row r="85" spans="2:15" ht="15.75" customHeight="1">
      <c r="B85" s="450"/>
      <c r="C85" s="450"/>
      <c r="D85" s="551"/>
      <c r="E85" s="430"/>
      <c r="F85" s="430" t="s">
        <v>54</v>
      </c>
      <c r="G85" s="430"/>
      <c r="H85" s="430"/>
      <c r="I85" s="430"/>
      <c r="J85" s="547"/>
      <c r="K85" s="549"/>
      <c r="L85" s="548"/>
      <c r="M85" s="430"/>
      <c r="N85" s="431"/>
      <c r="O85" s="450"/>
    </row>
    <row r="86" spans="2:15" ht="3" customHeight="1">
      <c r="B86" s="450"/>
      <c r="C86" s="450"/>
      <c r="D86" s="551"/>
      <c r="E86" s="430"/>
      <c r="F86" s="430"/>
      <c r="G86" s="430"/>
      <c r="H86" s="430"/>
      <c r="I86" s="430"/>
      <c r="J86" s="430"/>
      <c r="K86" s="430"/>
      <c r="L86" s="430"/>
      <c r="M86" s="430"/>
      <c r="N86" s="431"/>
      <c r="O86" s="450"/>
    </row>
    <row r="87" spans="2:15" ht="15.75" customHeight="1">
      <c r="B87" s="450"/>
      <c r="C87" s="450"/>
      <c r="D87" s="551"/>
      <c r="E87" s="430"/>
      <c r="F87" s="430" t="s">
        <v>291</v>
      </c>
      <c r="G87" s="430"/>
      <c r="H87" s="430"/>
      <c r="I87" s="547"/>
      <c r="J87" s="548"/>
      <c r="K87" s="430"/>
      <c r="L87" s="547"/>
      <c r="M87" s="548"/>
      <c r="N87" s="431"/>
      <c r="O87" s="450"/>
    </row>
    <row r="88" spans="2:15" ht="3" customHeight="1">
      <c r="B88" s="450"/>
      <c r="C88" s="450"/>
      <c r="D88" s="551"/>
      <c r="E88" s="430"/>
      <c r="F88" s="430"/>
      <c r="G88" s="430"/>
      <c r="H88" s="430"/>
      <c r="I88" s="430"/>
      <c r="J88" s="430"/>
      <c r="K88" s="430"/>
      <c r="L88" s="430"/>
      <c r="M88" s="430"/>
      <c r="N88" s="431"/>
      <c r="O88" s="450"/>
    </row>
    <row r="89" spans="2:15" ht="15.75" customHeight="1">
      <c r="B89" s="450"/>
      <c r="C89" s="450"/>
      <c r="D89" s="551"/>
      <c r="E89" s="430"/>
      <c r="F89" s="430" t="s">
        <v>236</v>
      </c>
      <c r="G89" s="430"/>
      <c r="H89" s="430"/>
      <c r="I89" s="430"/>
      <c r="J89" s="547"/>
      <c r="K89" s="549"/>
      <c r="L89" s="548"/>
      <c r="M89" s="430"/>
      <c r="N89" s="431"/>
      <c r="O89" s="450"/>
    </row>
    <row r="90" spans="2:15" ht="9.75" customHeight="1">
      <c r="B90" s="450"/>
      <c r="C90" s="450"/>
      <c r="D90" s="552"/>
      <c r="E90" s="435"/>
      <c r="F90" s="435"/>
      <c r="G90" s="435"/>
      <c r="H90" s="435"/>
      <c r="I90" s="435"/>
      <c r="J90" s="435"/>
      <c r="K90" s="435"/>
      <c r="L90" s="435"/>
      <c r="M90" s="435"/>
      <c r="N90" s="438"/>
      <c r="O90" s="450"/>
    </row>
    <row r="91" spans="2:15" ht="8.25" customHeight="1" hidden="1">
      <c r="B91" s="450"/>
      <c r="C91" s="450"/>
      <c r="D91" s="453"/>
      <c r="E91" s="450"/>
      <c r="F91" s="450"/>
      <c r="G91" s="450"/>
      <c r="H91" s="450"/>
      <c r="I91" s="450"/>
      <c r="J91" s="450"/>
      <c r="K91" s="450"/>
      <c r="L91" s="450"/>
      <c r="M91" s="450"/>
      <c r="N91" s="450"/>
      <c r="O91" s="450"/>
    </row>
    <row r="92" spans="2:15" ht="9" customHeight="1" hidden="1">
      <c r="B92" s="450"/>
      <c r="C92" s="450"/>
      <c r="D92" s="553" t="s">
        <v>62</v>
      </c>
      <c r="E92" s="451"/>
      <c r="F92" s="451"/>
      <c r="G92" s="451"/>
      <c r="H92" s="451"/>
      <c r="I92" s="451"/>
      <c r="J92" s="451"/>
      <c r="K92" s="451"/>
      <c r="L92" s="451"/>
      <c r="M92" s="451"/>
      <c r="N92" s="452"/>
      <c r="O92" s="450"/>
    </row>
    <row r="93" spans="2:15" ht="15.75" customHeight="1" hidden="1">
      <c r="B93" s="450"/>
      <c r="C93" s="450"/>
      <c r="D93" s="554"/>
      <c r="E93" s="430"/>
      <c r="F93" s="430" t="s">
        <v>19</v>
      </c>
      <c r="G93" s="430"/>
      <c r="H93" s="430"/>
      <c r="I93" s="547"/>
      <c r="J93" s="548"/>
      <c r="K93" s="430"/>
      <c r="L93" s="430"/>
      <c r="M93" s="430"/>
      <c r="N93" s="431"/>
      <c r="O93" s="450"/>
    </row>
    <row r="94" spans="2:15" ht="3" customHeight="1" hidden="1">
      <c r="B94" s="450"/>
      <c r="C94" s="450"/>
      <c r="D94" s="554"/>
      <c r="E94" s="430"/>
      <c r="F94" s="430"/>
      <c r="G94" s="430"/>
      <c r="H94" s="430"/>
      <c r="I94" s="430"/>
      <c r="J94" s="430"/>
      <c r="K94" s="430"/>
      <c r="L94" s="430"/>
      <c r="M94" s="430"/>
      <c r="N94" s="431"/>
      <c r="O94" s="450"/>
    </row>
    <row r="95" spans="2:15" ht="15.75" customHeight="1" hidden="1">
      <c r="B95" s="450"/>
      <c r="C95" s="450"/>
      <c r="D95" s="554"/>
      <c r="E95" s="430"/>
      <c r="F95" s="430" t="s">
        <v>7</v>
      </c>
      <c r="G95" s="430"/>
      <c r="H95" s="430"/>
      <c r="I95" s="547"/>
      <c r="J95" s="548"/>
      <c r="K95" s="430"/>
      <c r="L95" s="430"/>
      <c r="M95" s="430"/>
      <c r="N95" s="431"/>
      <c r="O95" s="450"/>
    </row>
    <row r="96" spans="2:15" ht="1.5" customHeight="1" hidden="1">
      <c r="B96" s="450"/>
      <c r="C96" s="450"/>
      <c r="D96" s="554"/>
      <c r="E96" s="430"/>
      <c r="F96" s="430"/>
      <c r="G96" s="430"/>
      <c r="H96" s="430"/>
      <c r="I96" s="430"/>
      <c r="J96" s="430"/>
      <c r="K96" s="430"/>
      <c r="L96" s="430"/>
      <c r="M96" s="430"/>
      <c r="N96" s="431"/>
      <c r="O96" s="450"/>
    </row>
    <row r="97" spans="2:15" ht="15.75" customHeight="1" hidden="1">
      <c r="B97" s="450"/>
      <c r="C97" s="450"/>
      <c r="D97" s="554"/>
      <c r="E97" s="430"/>
      <c r="F97" s="430" t="s">
        <v>195</v>
      </c>
      <c r="G97" s="430"/>
      <c r="H97" s="430"/>
      <c r="I97" s="516"/>
      <c r="J97" s="430"/>
      <c r="K97" s="430"/>
      <c r="L97" s="430"/>
      <c r="M97" s="430"/>
      <c r="N97" s="431"/>
      <c r="O97" s="450"/>
    </row>
    <row r="98" spans="2:15" ht="3" customHeight="1" hidden="1">
      <c r="B98" s="450"/>
      <c r="C98" s="450"/>
      <c r="D98" s="554"/>
      <c r="E98" s="430"/>
      <c r="F98" s="430"/>
      <c r="G98" s="430"/>
      <c r="H98" s="430"/>
      <c r="I98" s="430"/>
      <c r="J98" s="430"/>
      <c r="K98" s="430"/>
      <c r="L98" s="430"/>
      <c r="M98" s="430"/>
      <c r="N98" s="431"/>
      <c r="O98" s="450"/>
    </row>
    <row r="99" spans="2:15" ht="15.75" customHeight="1" hidden="1">
      <c r="B99" s="450"/>
      <c r="C99" s="450"/>
      <c r="D99" s="554"/>
      <c r="E99" s="430"/>
      <c r="F99" s="430" t="s">
        <v>331</v>
      </c>
      <c r="G99" s="430"/>
      <c r="H99" s="430"/>
      <c r="I99" s="430"/>
      <c r="J99" s="430"/>
      <c r="K99" s="430"/>
      <c r="L99" s="430"/>
      <c r="M99" s="430"/>
      <c r="N99" s="431"/>
      <c r="O99" s="450"/>
    </row>
    <row r="100" spans="2:15" ht="1.5" customHeight="1" hidden="1">
      <c r="B100" s="450"/>
      <c r="C100" s="450"/>
      <c r="D100" s="554"/>
      <c r="E100" s="430"/>
      <c r="F100" s="430"/>
      <c r="G100" s="430"/>
      <c r="H100" s="430"/>
      <c r="I100" s="430"/>
      <c r="J100" s="430"/>
      <c r="K100" s="430"/>
      <c r="L100" s="430"/>
      <c r="M100" s="430"/>
      <c r="N100" s="431"/>
      <c r="O100" s="450"/>
    </row>
    <row r="101" spans="2:15" ht="15.75" customHeight="1" hidden="1">
      <c r="B101" s="450"/>
      <c r="C101" s="450"/>
      <c r="D101" s="554"/>
      <c r="E101" s="430"/>
      <c r="F101" s="430" t="s">
        <v>332</v>
      </c>
      <c r="G101" s="430"/>
      <c r="H101" s="430"/>
      <c r="I101" s="547"/>
      <c r="J101" s="548"/>
      <c r="K101" s="430"/>
      <c r="L101" s="430"/>
      <c r="M101" s="430"/>
      <c r="N101" s="431"/>
      <c r="O101" s="450"/>
    </row>
    <row r="102" spans="2:15" ht="1.5" customHeight="1" hidden="1">
      <c r="B102" s="450"/>
      <c r="C102" s="450"/>
      <c r="D102" s="554"/>
      <c r="E102" s="430"/>
      <c r="F102" s="430"/>
      <c r="G102" s="430"/>
      <c r="H102" s="430"/>
      <c r="I102" s="430"/>
      <c r="J102" s="430"/>
      <c r="K102" s="430"/>
      <c r="L102" s="430"/>
      <c r="M102" s="430"/>
      <c r="N102" s="431"/>
      <c r="O102" s="450"/>
    </row>
    <row r="103" spans="2:15" ht="15.75" customHeight="1" hidden="1">
      <c r="B103" s="450"/>
      <c r="C103" s="450"/>
      <c r="D103" s="554"/>
      <c r="E103" s="430"/>
      <c r="F103" s="430" t="s">
        <v>333</v>
      </c>
      <c r="G103" s="430"/>
      <c r="H103" s="430"/>
      <c r="I103" s="547"/>
      <c r="J103" s="548"/>
      <c r="K103" s="430"/>
      <c r="L103" s="430"/>
      <c r="M103" s="430"/>
      <c r="N103" s="431"/>
      <c r="O103" s="450"/>
    </row>
    <row r="104" spans="2:15" ht="3" customHeight="1" hidden="1">
      <c r="B104" s="450"/>
      <c r="C104" s="450"/>
      <c r="D104" s="554"/>
      <c r="E104" s="430"/>
      <c r="F104" s="430"/>
      <c r="G104" s="430"/>
      <c r="H104" s="430"/>
      <c r="I104" s="430"/>
      <c r="J104" s="430"/>
      <c r="K104" s="430"/>
      <c r="L104" s="430"/>
      <c r="M104" s="430"/>
      <c r="N104" s="431"/>
      <c r="O104" s="450"/>
    </row>
    <row r="105" spans="2:15" ht="15.75" customHeight="1" hidden="1">
      <c r="B105" s="450"/>
      <c r="C105" s="450"/>
      <c r="D105" s="554"/>
      <c r="E105" s="430"/>
      <c r="F105" s="430" t="s">
        <v>229</v>
      </c>
      <c r="G105" s="430"/>
      <c r="H105" s="430"/>
      <c r="I105" s="547"/>
      <c r="J105" s="548"/>
      <c r="K105" s="430"/>
      <c r="L105" s="430"/>
      <c r="M105" s="430"/>
      <c r="N105" s="431"/>
      <c r="O105" s="450"/>
    </row>
    <row r="106" spans="2:15" ht="3" customHeight="1" hidden="1">
      <c r="B106" s="450"/>
      <c r="C106" s="450"/>
      <c r="D106" s="554"/>
      <c r="E106" s="430"/>
      <c r="F106" s="430"/>
      <c r="G106" s="430"/>
      <c r="H106" s="430"/>
      <c r="I106" s="430"/>
      <c r="J106" s="430"/>
      <c r="K106" s="430"/>
      <c r="L106" s="430"/>
      <c r="M106" s="430"/>
      <c r="N106" s="431"/>
      <c r="O106" s="450"/>
    </row>
    <row r="107" spans="2:15" ht="15.75" customHeight="1" hidden="1">
      <c r="B107" s="450"/>
      <c r="C107" s="450"/>
      <c r="D107" s="554"/>
      <c r="E107" s="430"/>
      <c r="F107" s="430" t="s">
        <v>262</v>
      </c>
      <c r="G107" s="430"/>
      <c r="H107" s="430"/>
      <c r="I107" s="547"/>
      <c r="J107" s="548"/>
      <c r="K107" s="430"/>
      <c r="L107" s="430"/>
      <c r="M107" s="430"/>
      <c r="N107" s="431"/>
      <c r="O107" s="450"/>
    </row>
    <row r="108" spans="2:15" ht="1.5" customHeight="1" hidden="1">
      <c r="B108" s="450"/>
      <c r="C108" s="450"/>
      <c r="D108" s="554"/>
      <c r="E108" s="430"/>
      <c r="F108" s="430"/>
      <c r="G108" s="430"/>
      <c r="H108" s="430"/>
      <c r="I108" s="462"/>
      <c r="J108" s="430"/>
      <c r="K108" s="430"/>
      <c r="L108" s="430"/>
      <c r="M108" s="430"/>
      <c r="N108" s="431"/>
      <c r="O108" s="450"/>
    </row>
    <row r="109" spans="2:15" ht="15.75" customHeight="1" hidden="1">
      <c r="B109" s="450"/>
      <c r="C109" s="450"/>
      <c r="D109" s="554"/>
      <c r="E109" s="430"/>
      <c r="F109" s="430" t="s">
        <v>193</v>
      </c>
      <c r="G109" s="430"/>
      <c r="H109" s="430"/>
      <c r="I109" s="516"/>
      <c r="J109" s="430"/>
      <c r="K109" s="430"/>
      <c r="L109" s="430"/>
      <c r="M109" s="430"/>
      <c r="N109" s="431"/>
      <c r="O109" s="450"/>
    </row>
    <row r="110" spans="2:15" ht="3" customHeight="1" hidden="1">
      <c r="B110" s="450"/>
      <c r="C110" s="450"/>
      <c r="D110" s="554"/>
      <c r="E110" s="430"/>
      <c r="F110" s="430"/>
      <c r="G110" s="430"/>
      <c r="H110" s="430"/>
      <c r="I110" s="430"/>
      <c r="J110" s="430"/>
      <c r="K110" s="430"/>
      <c r="L110" s="430"/>
      <c r="M110" s="430"/>
      <c r="N110" s="431"/>
      <c r="O110" s="450"/>
    </row>
    <row r="111" spans="2:15" ht="15.75" customHeight="1" hidden="1">
      <c r="B111" s="450"/>
      <c r="C111" s="450"/>
      <c r="D111" s="554"/>
      <c r="E111" s="430"/>
      <c r="F111" s="430" t="s">
        <v>212</v>
      </c>
      <c r="G111" s="430"/>
      <c r="H111" s="430"/>
      <c r="I111" s="547"/>
      <c r="J111" s="548"/>
      <c r="K111" s="430"/>
      <c r="L111" s="430"/>
      <c r="M111" s="430"/>
      <c r="N111" s="431"/>
      <c r="O111" s="450"/>
    </row>
    <row r="112" spans="2:15" ht="9.75" customHeight="1" hidden="1">
      <c r="B112" s="450"/>
      <c r="C112" s="450"/>
      <c r="D112" s="555"/>
      <c r="E112" s="435"/>
      <c r="F112" s="435"/>
      <c r="G112" s="435"/>
      <c r="H112" s="435"/>
      <c r="I112" s="435"/>
      <c r="J112" s="435"/>
      <c r="K112" s="435"/>
      <c r="L112" s="435"/>
      <c r="M112" s="435"/>
      <c r="N112" s="438"/>
      <c r="O112" s="450"/>
    </row>
    <row r="113" spans="2:15" s="459" customFormat="1" ht="7.5" customHeight="1" hidden="1">
      <c r="B113" s="460"/>
      <c r="C113" s="460"/>
      <c r="D113" s="461"/>
      <c r="E113" s="460"/>
      <c r="F113" s="450"/>
      <c r="G113" s="450"/>
      <c r="H113" s="460"/>
      <c r="I113" s="460"/>
      <c r="J113" s="460"/>
      <c r="K113" s="460"/>
      <c r="L113" s="460"/>
      <c r="M113" s="460"/>
      <c r="N113" s="460"/>
      <c r="O113" s="460"/>
    </row>
    <row r="114" spans="2:15" ht="9" customHeight="1" hidden="1">
      <c r="B114" s="450"/>
      <c r="C114" s="450"/>
      <c r="D114" s="550" t="s">
        <v>116</v>
      </c>
      <c r="E114" s="463"/>
      <c r="F114" s="451"/>
      <c r="G114" s="451"/>
      <c r="H114" s="451"/>
      <c r="I114" s="451"/>
      <c r="J114" s="451"/>
      <c r="K114" s="451"/>
      <c r="L114" s="451"/>
      <c r="M114" s="451"/>
      <c r="N114" s="452"/>
      <c r="O114" s="450"/>
    </row>
    <row r="115" spans="2:15" ht="15.75" customHeight="1" hidden="1">
      <c r="B115" s="450"/>
      <c r="C115" s="450"/>
      <c r="D115" s="551"/>
      <c r="E115" s="464"/>
      <c r="F115" s="430" t="s">
        <v>54</v>
      </c>
      <c r="G115" s="430"/>
      <c r="H115" s="430"/>
      <c r="I115" s="547"/>
      <c r="J115" s="548"/>
      <c r="K115" s="430"/>
      <c r="L115" s="430"/>
      <c r="M115" s="430"/>
      <c r="N115" s="431"/>
      <c r="O115" s="450"/>
    </row>
    <row r="116" spans="2:15" ht="3" customHeight="1" hidden="1">
      <c r="B116" s="450"/>
      <c r="C116" s="450"/>
      <c r="D116" s="551"/>
      <c r="E116" s="464"/>
      <c r="F116" s="430"/>
      <c r="G116" s="430"/>
      <c r="H116" s="430"/>
      <c r="I116" s="430"/>
      <c r="J116" s="430"/>
      <c r="K116" s="430"/>
      <c r="L116" s="430"/>
      <c r="M116" s="430"/>
      <c r="N116" s="431"/>
      <c r="O116" s="450"/>
    </row>
    <row r="117" spans="2:15" ht="15.75" customHeight="1" hidden="1">
      <c r="B117" s="450"/>
      <c r="C117" s="450"/>
      <c r="D117" s="551"/>
      <c r="E117" s="464"/>
      <c r="F117" s="430" t="s">
        <v>302</v>
      </c>
      <c r="G117" s="430"/>
      <c r="H117" s="430"/>
      <c r="I117" s="547"/>
      <c r="J117" s="548"/>
      <c r="K117" s="430"/>
      <c r="L117" s="430"/>
      <c r="M117" s="430"/>
      <c r="N117" s="431"/>
      <c r="O117" s="450"/>
    </row>
    <row r="118" spans="2:15" ht="3" customHeight="1" hidden="1">
      <c r="B118" s="450"/>
      <c r="C118" s="450"/>
      <c r="D118" s="551"/>
      <c r="E118" s="464"/>
      <c r="F118" s="430"/>
      <c r="G118" s="430"/>
      <c r="H118" s="430"/>
      <c r="I118" s="430"/>
      <c r="J118" s="430"/>
      <c r="K118" s="430"/>
      <c r="L118" s="430"/>
      <c r="M118" s="430"/>
      <c r="N118" s="431"/>
      <c r="O118" s="450"/>
    </row>
    <row r="119" spans="2:15" ht="15.75" customHeight="1" hidden="1">
      <c r="B119" s="450"/>
      <c r="C119" s="450"/>
      <c r="D119" s="551"/>
      <c r="E119" s="464"/>
      <c r="F119" s="430" t="s">
        <v>236</v>
      </c>
      <c r="G119" s="430"/>
      <c r="H119" s="430"/>
      <c r="I119" s="547"/>
      <c r="J119" s="548"/>
      <c r="K119" s="430"/>
      <c r="L119" s="430"/>
      <c r="M119" s="430"/>
      <c r="N119" s="431"/>
      <c r="O119" s="450"/>
    </row>
    <row r="120" spans="2:15" ht="9.75" customHeight="1" hidden="1">
      <c r="B120" s="450"/>
      <c r="C120" s="450"/>
      <c r="D120" s="552"/>
      <c r="E120" s="465"/>
      <c r="F120" s="435"/>
      <c r="G120" s="435"/>
      <c r="H120" s="435"/>
      <c r="I120" s="435"/>
      <c r="J120" s="435"/>
      <c r="K120" s="435"/>
      <c r="L120" s="435"/>
      <c r="M120" s="435"/>
      <c r="N120" s="438"/>
      <c r="O120" s="450"/>
    </row>
    <row r="121" spans="2:15" ht="12.75">
      <c r="B121" s="450"/>
      <c r="C121" s="450"/>
      <c r="D121" s="453"/>
      <c r="E121" s="450"/>
      <c r="F121" s="450"/>
      <c r="G121" s="450"/>
      <c r="H121" s="450"/>
      <c r="I121" s="450"/>
      <c r="J121" s="450"/>
      <c r="K121" s="450"/>
      <c r="L121" s="450"/>
      <c r="M121" s="450"/>
      <c r="N121" s="450"/>
      <c r="O121" s="450"/>
    </row>
    <row r="122" spans="2:15" ht="25.5" customHeight="1">
      <c r="B122" s="450"/>
      <c r="C122" s="450"/>
      <c r="D122" s="557" t="s">
        <v>131</v>
      </c>
      <c r="E122" s="557"/>
      <c r="F122" s="557"/>
      <c r="G122" s="557"/>
      <c r="H122" s="557"/>
      <c r="I122" s="557"/>
      <c r="J122" s="557"/>
      <c r="K122" s="557"/>
      <c r="L122" s="557"/>
      <c r="M122" s="557"/>
      <c r="N122" s="557"/>
      <c r="O122" s="450"/>
    </row>
    <row r="123" spans="2:15" ht="6.75" customHeight="1">
      <c r="B123" s="450"/>
      <c r="C123" s="450"/>
      <c r="D123" s="453"/>
      <c r="E123" s="450"/>
      <c r="F123" s="450"/>
      <c r="G123" s="450"/>
      <c r="H123" s="450"/>
      <c r="I123" s="450"/>
      <c r="J123" s="450"/>
      <c r="K123" s="450"/>
      <c r="L123" s="450"/>
      <c r="M123" s="450"/>
      <c r="N123" s="450"/>
      <c r="O123" s="450"/>
    </row>
    <row r="124" spans="2:15" ht="7.5" customHeight="1">
      <c r="B124" s="450"/>
      <c r="C124" s="450"/>
      <c r="D124" s="561" t="s">
        <v>192</v>
      </c>
      <c r="E124" s="561"/>
      <c r="F124" s="562"/>
      <c r="G124" s="466"/>
      <c r="H124" s="467"/>
      <c r="I124" s="467"/>
      <c r="J124" s="467"/>
      <c r="K124" s="467"/>
      <c r="L124" s="467"/>
      <c r="M124" s="467"/>
      <c r="N124" s="468"/>
      <c r="O124" s="450"/>
    </row>
    <row r="125" spans="2:15" ht="7.5" customHeight="1">
      <c r="B125" s="450"/>
      <c r="C125" s="450"/>
      <c r="D125" s="561"/>
      <c r="E125" s="561"/>
      <c r="F125" s="562"/>
      <c r="G125" s="469"/>
      <c r="H125" s="430"/>
      <c r="I125" s="430"/>
      <c r="J125" s="430"/>
      <c r="K125" s="430"/>
      <c r="L125" s="430"/>
      <c r="M125" s="430"/>
      <c r="N125" s="470"/>
      <c r="O125" s="450"/>
    </row>
    <row r="126" spans="2:15" ht="66" customHeight="1">
      <c r="B126" s="450"/>
      <c r="C126" s="450"/>
      <c r="D126" s="453"/>
      <c r="E126" s="450"/>
      <c r="F126" s="450"/>
      <c r="G126" s="543" t="str">
        <f>IF(AUXILIAR!K59&gt;=0,"IRS a pagar","Reembolso de IRS")</f>
        <v>IRS a pagar</v>
      </c>
      <c r="H126" s="563">
        <f>_xlfn.IFERROR(ABS(AUXILIAR!K59),"Insira Dados")</f>
        <v>0</v>
      </c>
      <c r="I126" s="563"/>
      <c r="J126" s="471"/>
      <c r="K126" s="430"/>
      <c r="L126" s="430"/>
      <c r="M126" s="430"/>
      <c r="N126" s="470"/>
      <c r="O126" s="450"/>
    </row>
    <row r="127" spans="2:15" ht="20.25" customHeight="1">
      <c r="B127" s="450"/>
      <c r="C127" s="450"/>
      <c r="D127" s="453"/>
      <c r="E127" s="450"/>
      <c r="F127" s="450"/>
      <c r="G127" s="472"/>
      <c r="H127" s="473"/>
      <c r="I127" s="473"/>
      <c r="J127" s="473"/>
      <c r="K127" s="473"/>
      <c r="L127" s="473"/>
      <c r="M127" s="473"/>
      <c r="N127" s="474"/>
      <c r="O127" s="450"/>
    </row>
    <row r="128" spans="2:15" ht="12.75" customHeight="1">
      <c r="B128" s="450"/>
      <c r="C128" s="450"/>
      <c r="D128" s="453"/>
      <c r="E128" s="450"/>
      <c r="F128" s="475"/>
      <c r="G128" s="432"/>
      <c r="H128" s="432"/>
      <c r="I128" s="432"/>
      <c r="J128" s="432"/>
      <c r="K128" s="432"/>
      <c r="L128" s="432"/>
      <c r="M128" s="432"/>
      <c r="N128" s="432"/>
      <c r="O128" s="450"/>
    </row>
    <row r="129" spans="2:15" ht="12.75" customHeight="1">
      <c r="B129" s="450"/>
      <c r="C129" s="450"/>
      <c r="D129" s="475"/>
      <c r="E129" s="450"/>
      <c r="F129" s="450"/>
      <c r="G129" s="432"/>
      <c r="H129" s="432"/>
      <c r="I129" s="432"/>
      <c r="J129" s="432"/>
      <c r="K129" s="432"/>
      <c r="L129" s="432"/>
      <c r="M129" s="432"/>
      <c r="N129" s="432"/>
      <c r="O129" s="450"/>
    </row>
    <row r="130" spans="2:15" ht="12.75">
      <c r="B130" s="450"/>
      <c r="C130" s="450"/>
      <c r="D130" s="453"/>
      <c r="E130" s="450"/>
      <c r="F130" s="450"/>
      <c r="G130" s="450"/>
      <c r="H130" s="450"/>
      <c r="I130" s="450"/>
      <c r="J130" s="450"/>
      <c r="K130" s="450"/>
      <c r="L130" s="450"/>
      <c r="M130" s="450"/>
      <c r="N130" s="450"/>
      <c r="O130" s="450"/>
    </row>
    <row r="135" ht="12.75">
      <c r="A135" s="476">
        <f>AUXILIAR!F71</f>
        <v>0</v>
      </c>
    </row>
  </sheetData>
  <sheetProtection password="C7EC" sheet="1" objects="1" formatColumns="0" formatRows="0" selectLockedCells="1"/>
  <mergeCells count="62">
    <mergeCell ref="D124:F125"/>
    <mergeCell ref="H126:I126"/>
    <mergeCell ref="D122:N122"/>
    <mergeCell ref="D46:D52"/>
    <mergeCell ref="D54:D58"/>
    <mergeCell ref="D60:N60"/>
    <mergeCell ref="D62:D82"/>
    <mergeCell ref="D84:D90"/>
    <mergeCell ref="I87:J87"/>
    <mergeCell ref="I47:J47"/>
    <mergeCell ref="I49:J49"/>
    <mergeCell ref="I51:J51"/>
    <mergeCell ref="I55:J55"/>
    <mergeCell ref="I57:J57"/>
    <mergeCell ref="L55:M55"/>
    <mergeCell ref="J89:L89"/>
    <mergeCell ref="J73:L73"/>
    <mergeCell ref="L49:M49"/>
    <mergeCell ref="L51:M51"/>
    <mergeCell ref="D10:N10"/>
    <mergeCell ref="D12:D23"/>
    <mergeCell ref="D25:N25"/>
    <mergeCell ref="D27:D33"/>
    <mergeCell ref="D35:D44"/>
    <mergeCell ref="I28:J28"/>
    <mergeCell ref="I37:J37"/>
    <mergeCell ref="I30:J30"/>
    <mergeCell ref="I32:J32"/>
    <mergeCell ref="I39:J39"/>
    <mergeCell ref="I24:J24"/>
    <mergeCell ref="L24:M24"/>
    <mergeCell ref="L28:M28"/>
    <mergeCell ref="L30:M30"/>
    <mergeCell ref="L32:M32"/>
    <mergeCell ref="L37:M37"/>
    <mergeCell ref="L39:M39"/>
    <mergeCell ref="L47:M47"/>
    <mergeCell ref="L57:M57"/>
    <mergeCell ref="J63:L63"/>
    <mergeCell ref="J65:L65"/>
    <mergeCell ref="J71:L71"/>
    <mergeCell ref="L41:M41"/>
    <mergeCell ref="I43:J43"/>
    <mergeCell ref="I41:J41"/>
    <mergeCell ref="L43:M43"/>
    <mergeCell ref="D114:D120"/>
    <mergeCell ref="I117:J117"/>
    <mergeCell ref="D92:D112"/>
    <mergeCell ref="I105:J105"/>
    <mergeCell ref="I107:J107"/>
    <mergeCell ref="I111:J111"/>
    <mergeCell ref="I115:J115"/>
    <mergeCell ref="I119:J119"/>
    <mergeCell ref="I93:J93"/>
    <mergeCell ref="I95:J95"/>
    <mergeCell ref="I101:J101"/>
    <mergeCell ref="I103:J103"/>
    <mergeCell ref="L87:M87"/>
    <mergeCell ref="J75:L75"/>
    <mergeCell ref="J77:L77"/>
    <mergeCell ref="J81:L81"/>
    <mergeCell ref="J85:L85"/>
  </mergeCells>
  <conditionalFormatting sqref="J79">
    <cfRule type="expression" priority="5" dxfId="4">
      <formula>ISNUMBER($J$79)</formula>
    </cfRule>
    <cfRule type="expression" priority="7" dxfId="0">
      <formula>$J$77&lt;&gt;""</formula>
    </cfRule>
  </conditionalFormatting>
  <conditionalFormatting sqref="J80">
    <cfRule type="cellIs" priority="6" dxfId="2" operator="greaterThan">
      <formula>0</formula>
    </cfRule>
  </conditionalFormatting>
  <conditionalFormatting sqref="I109">
    <cfRule type="expression" priority="1" dxfId="1">
      <formula>ISNUMBER($I$109)</formula>
    </cfRule>
    <cfRule type="expression" priority="2" dxfId="0">
      <formula>$I$107&lt;&gt;""</formula>
    </cfRule>
  </conditionalFormatting>
  <dataValidations count="12">
    <dataValidation type="whole" showInputMessage="1" showErrorMessage="1" errorTitle="Erro: Preenchimento incorrecto" error="Número de dependentes com despesas de educação tem que ser menor ou igual ao número total de dependentes" sqref="J67">
      <formula1>0</formula1>
      <formula2>A135</formula2>
    </dataValidation>
    <dataValidation type="decimal" operator="greaterThanOrEqual" showInputMessage="1" showErrorMessage="1" errorTitle="Erro: Preenchimento incorrecto" error="Por favor preencha com um valor positivo" sqref="A132 I28:J28 I87:J87 L49:M49 L39:M39 L47:M47 L28:M28 I47:J47 L41:M41 I39:J39 I49:J49 I41:J41 L87:M87">
      <formula1>0</formula1>
    </dataValidation>
    <dataValidation type="decimal" operator="greaterThanOrEqual" showInputMessage="1" showErrorMessage="1" errorTitle="Erro: Preenchimento incorrecto" error="Por favor preencha com um valor positivo." sqref="I103:J103 I95:J95 I115:J115 I119:J119 I111:J111 I108 I93:J93 I117:J117 I101:J101 I55:J55 I107:J107 I105:J105 L55:M55">
      <formula1>0</formula1>
    </dataValidation>
    <dataValidation type="decimal" operator="greaterThanOrEqual" showInputMessage="1" showErrorMessage="1" errorTitle="Erro: Preenchimento incorrecto" error="Por favor preencha com um valor positivo.&#10;" sqref="J63:L63 J89:L89 J65:L65 J71:L71 J73:L73 J75:L75 J77:L77 J81:L81 J85:L85">
      <formula1>0</formula1>
    </dataValidation>
    <dataValidation type="whole" operator="greaterThanOrEqual" allowBlank="1" showInputMessage="1" showErrorMessage="1" errorTitle="Erro: Preenchimento incorrecto" error="Por favor preencha com um nº inteiro positivo." sqref="I109">
      <formula1>0</formula1>
    </dataValidation>
    <dataValidation type="whole" showInputMessage="1" showErrorMessage="1" errorTitle="Erro: Preenchimento incorrecto" error="Número de dependentes com despesas de educação tem que ser menor ou igual ao número total de dependentes indicado nos dados do agregado." sqref="I97">
      <formula1>0</formula1>
      <formula2>A135</formula2>
    </dataValidation>
    <dataValidation type="decimal" showInputMessage="1" showErrorMessage="1" errorTitle="Erro: Preenchimento incorrecto" error="Por favor, preencher o rendimento auferido antes das contribuições para a segurança social. O valor inserido deverá ser inferior ao rendimento auferido e deve ser positivo&#10;." sqref="I30:J30 L30:M30">
      <formula1>0</formula1>
      <formula2>I28</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I32:J32 L32:M32">
      <formula1>0</formula1>
      <formula2>I28</formula2>
    </dataValidation>
    <dataValidation type="decimal" operator="greaterThanOrEqual" showInputMessage="1" showErrorMessage="1" errorTitle="Erro: Preenchimento incorrecto" error="Por favor, preencha com um valor positivo." sqref="I37:J37 L37:M37 I43:J43 L43:M43">
      <formula1>0</formula1>
    </dataValidation>
    <dataValidation type="decimal" showInputMessage="1" showErrorMessage="1" errorTitle="Erro: Preenchimento incorrecto" error="Por favor, inserir rendimento auferido antes de inserir as retenções na fonte. O valor inserido deverá ser positivo e infeior ao rendimento auferido" sqref="I51:J51 L51:M51">
      <formula1>0</formula1>
      <formula2>I47</formula2>
    </dataValidation>
    <dataValidation type="decimal" showInputMessage="1" showErrorMessage="1" errorTitle="Erro: Preenchimento incorrecto" error="Por favor, inserir rendimento auferido antes de inserir as retenções na fonte. O valor inserido deverá ser positivo e infeior ao rendimento auferido" sqref="L57:M57 I57:J57">
      <formula1>0</formula1>
      <formula2>L55</formula2>
    </dataValidation>
    <dataValidation type="whole" operator="greaterThanOrEqual" allowBlank="1" showInputMessage="1" showErrorMessage="1" errorTitle="Erro: Preenchimento incorrecto" error="Por favor preencha com um número inteiro positivo" sqref="J79">
      <formula1>0</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B2:M63"/>
  <sheetViews>
    <sheetView zoomScaleSheetLayoutView="100" zoomScalePageLayoutView="0" workbookViewId="0" topLeftCell="A1">
      <pane ySplit="8" topLeftCell="A9" activePane="bottomLeft" state="frozen"/>
      <selection pane="topLeft" activeCell="A1" sqref="A1"/>
      <selection pane="bottomLeft" activeCell="C48" sqref="C48"/>
    </sheetView>
  </sheetViews>
  <sheetFormatPr defaultColWidth="9.00390625" defaultRowHeight="14.25"/>
  <cols>
    <col min="1" max="1" width="3.25390625" style="335" customWidth="1"/>
    <col min="2" max="2" width="9.00390625" style="335" customWidth="1"/>
    <col min="3" max="3" width="49.25390625" style="335" customWidth="1"/>
    <col min="4" max="4" width="16.25390625" style="335" customWidth="1"/>
    <col min="5" max="5" width="2.875" style="335" customWidth="1"/>
    <col min="6" max="6" width="16.25390625" style="335" customWidth="1"/>
    <col min="7" max="7" width="3.625" style="335" customWidth="1"/>
    <col min="8" max="8" width="13.875" style="335" customWidth="1"/>
    <col min="9" max="9" width="1.00390625" style="335" customWidth="1"/>
    <col min="10" max="10" width="2.75390625" style="357" customWidth="1"/>
    <col min="11" max="11" width="2.25390625" style="350" customWidth="1"/>
    <col min="12" max="12" width="6.875" style="350" customWidth="1"/>
    <col min="13" max="16384" width="9.00390625" style="335" customWidth="1"/>
  </cols>
  <sheetData>
    <row r="1" ht="13.5" customHeight="1"/>
    <row r="2" ht="4.5" customHeight="1">
      <c r="M2" s="350"/>
    </row>
    <row r="3" ht="12.75" customHeight="1">
      <c r="M3" s="350"/>
    </row>
    <row r="4" ht="12.75" customHeight="1">
      <c r="M4" s="350"/>
    </row>
    <row r="5" ht="12.75" customHeight="1">
      <c r="M5" s="350"/>
    </row>
    <row r="6" ht="12.75" customHeight="1" thickBot="1">
      <c r="M6" s="350"/>
    </row>
    <row r="7" spans="2:13" ht="20.25">
      <c r="B7" s="408" t="s">
        <v>181</v>
      </c>
      <c r="C7" s="333"/>
      <c r="D7" s="333"/>
      <c r="E7" s="333"/>
      <c r="F7" s="333"/>
      <c r="G7" s="333"/>
      <c r="H7" s="333"/>
      <c r="I7" s="333"/>
      <c r="J7" s="353"/>
      <c r="K7" s="334"/>
      <c r="L7" s="334"/>
      <c r="M7" s="350"/>
    </row>
    <row r="8" spans="2:13" ht="6" customHeight="1">
      <c r="B8" s="358"/>
      <c r="C8" s="337"/>
      <c r="D8" s="337"/>
      <c r="E8" s="337"/>
      <c r="F8" s="337"/>
      <c r="G8" s="337"/>
      <c r="H8" s="337"/>
      <c r="I8" s="337"/>
      <c r="J8" s="354"/>
      <c r="K8" s="334"/>
      <c r="L8" s="334"/>
      <c r="M8" s="336"/>
    </row>
    <row r="9" spans="2:13" ht="71.25" customHeight="1">
      <c r="B9" s="370"/>
      <c r="C9" s="569" t="s">
        <v>342</v>
      </c>
      <c r="D9" s="569"/>
      <c r="E9" s="569"/>
      <c r="F9" s="569"/>
      <c r="G9" s="569"/>
      <c r="H9" s="569"/>
      <c r="I9" s="542"/>
      <c r="J9" s="542"/>
      <c r="K9" s="542"/>
      <c r="L9" s="340"/>
      <c r="M9" s="341"/>
    </row>
    <row r="10" spans="2:13" ht="18" customHeight="1">
      <c r="B10" s="338"/>
      <c r="C10" s="564"/>
      <c r="D10" s="566"/>
      <c r="E10" s="566"/>
      <c r="F10" s="566"/>
      <c r="G10" s="342"/>
      <c r="H10" s="567"/>
      <c r="I10" s="567"/>
      <c r="J10" s="567"/>
      <c r="K10" s="567"/>
      <c r="L10" s="567"/>
      <c r="M10" s="567"/>
    </row>
    <row r="11" spans="2:13" ht="15" thickBot="1">
      <c r="B11" s="338"/>
      <c r="C11" s="565"/>
      <c r="D11" s="351">
        <v>2011</v>
      </c>
      <c r="E11" s="352"/>
      <c r="F11" s="352">
        <v>2012</v>
      </c>
      <c r="G11" s="352"/>
      <c r="H11" s="352" t="s">
        <v>182</v>
      </c>
      <c r="I11" s="352"/>
      <c r="J11" s="355"/>
      <c r="K11" s="343"/>
      <c r="L11" s="343"/>
      <c r="M11" s="344"/>
    </row>
    <row r="12" spans="2:13" ht="14.25">
      <c r="B12" s="338"/>
      <c r="C12" s="477" t="s">
        <v>340</v>
      </c>
      <c r="D12" s="478">
        <f>AUXILIAR!J9</f>
        <v>0</v>
      </c>
      <c r="E12" s="478"/>
      <c r="F12" s="478">
        <f>AUXILIAR!K9</f>
        <v>0</v>
      </c>
      <c r="G12" s="478"/>
      <c r="H12" s="478"/>
      <c r="I12" s="479"/>
      <c r="J12" s="480"/>
      <c r="K12" s="345"/>
      <c r="L12" s="345"/>
      <c r="M12" s="344"/>
    </row>
    <row r="13" spans="2:13" ht="14.25" hidden="1">
      <c r="B13" s="338"/>
      <c r="C13" s="481" t="s">
        <v>24</v>
      </c>
      <c r="D13" s="478">
        <f>AUXILIAR!J10</f>
        <v>0</v>
      </c>
      <c r="E13" s="478"/>
      <c r="F13" s="478">
        <f>AUXILIAR!K10</f>
        <v>0</v>
      </c>
      <c r="G13" s="478"/>
      <c r="H13" s="478"/>
      <c r="I13" s="479"/>
      <c r="J13" s="480"/>
      <c r="K13" s="345"/>
      <c r="L13" s="345"/>
      <c r="M13" s="345"/>
    </row>
    <row r="14" spans="2:13" ht="14.25" hidden="1">
      <c r="B14" s="338"/>
      <c r="C14" s="541" t="s">
        <v>25</v>
      </c>
      <c r="D14" s="478">
        <f>AUXILIAR!J11</f>
        <v>0</v>
      </c>
      <c r="E14" s="478"/>
      <c r="F14" s="478">
        <f>AUXILIAR!K11</f>
        <v>0</v>
      </c>
      <c r="G14" s="478"/>
      <c r="H14" s="478"/>
      <c r="I14" s="479"/>
      <c r="J14" s="480"/>
      <c r="K14" s="345"/>
      <c r="L14" s="345"/>
      <c r="M14" s="344"/>
    </row>
    <row r="15" spans="2:13" ht="14.25" hidden="1">
      <c r="B15" s="338"/>
      <c r="C15" s="541" t="s">
        <v>78</v>
      </c>
      <c r="D15" s="478">
        <f>AUXILIAR!J12</f>
        <v>0</v>
      </c>
      <c r="E15" s="478"/>
      <c r="F15" s="478">
        <f>AUXILIAR!K12</f>
        <v>0</v>
      </c>
      <c r="G15" s="478"/>
      <c r="H15" s="478"/>
      <c r="I15" s="479"/>
      <c r="J15" s="480"/>
      <c r="K15" s="345"/>
      <c r="L15" s="345"/>
      <c r="M15" s="344"/>
    </row>
    <row r="16" spans="2:13" ht="14.25" hidden="1">
      <c r="B16" s="338"/>
      <c r="C16" s="541" t="s">
        <v>330</v>
      </c>
      <c r="D16" s="478">
        <f>AUXILIAR!J13</f>
        <v>0</v>
      </c>
      <c r="E16" s="478"/>
      <c r="F16" s="478">
        <f>AUXILIAR!K13</f>
        <v>0</v>
      </c>
      <c r="G16" s="478"/>
      <c r="H16" s="478"/>
      <c r="I16" s="479"/>
      <c r="J16" s="480"/>
      <c r="K16" s="345"/>
      <c r="L16" s="345"/>
      <c r="M16" s="344"/>
    </row>
    <row r="17" spans="2:13" ht="14.25">
      <c r="B17" s="338"/>
      <c r="C17" s="482" t="s">
        <v>303</v>
      </c>
      <c r="D17" s="478">
        <f>AUXILIAR!J14</f>
        <v>0</v>
      </c>
      <c r="E17" s="478"/>
      <c r="F17" s="478">
        <f>AUXILIAR!K14</f>
        <v>0</v>
      </c>
      <c r="G17" s="478"/>
      <c r="H17" s="478">
        <f>ABS(F17-D17)</f>
        <v>0</v>
      </c>
      <c r="I17" s="479"/>
      <c r="J17" s="480">
        <f aca="true" t="shared" si="0" ref="J17:J40">H17</f>
        <v>0</v>
      </c>
      <c r="K17" s="345"/>
      <c r="L17" s="345"/>
      <c r="M17" s="344"/>
    </row>
    <row r="18" spans="2:13" ht="14.25" hidden="1">
      <c r="B18" s="338"/>
      <c r="C18" s="481" t="s">
        <v>95</v>
      </c>
      <c r="D18" s="478">
        <f>AUXILIAR!J15</f>
        <v>0</v>
      </c>
      <c r="E18" s="478"/>
      <c r="F18" s="478">
        <f>AUXILIAR!K15</f>
        <v>0</v>
      </c>
      <c r="G18" s="478"/>
      <c r="H18" s="478">
        <f aca="true" t="shared" si="1" ref="H18:H55">ABS(F18-D18)</f>
        <v>0</v>
      </c>
      <c r="I18" s="479"/>
      <c r="J18" s="480">
        <f t="shared" si="0"/>
        <v>0</v>
      </c>
      <c r="K18" s="345"/>
      <c r="L18" s="345"/>
      <c r="M18" s="344"/>
    </row>
    <row r="19" spans="2:13" ht="14.25" hidden="1">
      <c r="B19" s="338"/>
      <c r="C19" s="481" t="s">
        <v>96</v>
      </c>
      <c r="D19" s="483" t="str">
        <f>AUXILIAR!J16</f>
        <v>N/A</v>
      </c>
      <c r="E19" s="483"/>
      <c r="F19" s="483" t="str">
        <f>AUXILIAR!K16</f>
        <v>N/A</v>
      </c>
      <c r="G19" s="483"/>
      <c r="H19" s="478"/>
      <c r="I19" s="479"/>
      <c r="J19" s="480"/>
      <c r="K19" s="345"/>
      <c r="L19" s="345"/>
      <c r="M19" s="344"/>
    </row>
    <row r="20" spans="2:13" ht="14.25" hidden="1">
      <c r="B20" s="338"/>
      <c r="C20" s="481" t="s">
        <v>97</v>
      </c>
      <c r="D20" s="478">
        <f>AUXILIAR!J17</f>
        <v>0</v>
      </c>
      <c r="E20" s="478"/>
      <c r="F20" s="478">
        <f>AUXILIAR!K17</f>
        <v>0</v>
      </c>
      <c r="G20" s="478"/>
      <c r="H20" s="478">
        <f t="shared" si="1"/>
        <v>0</v>
      </c>
      <c r="I20" s="479"/>
      <c r="J20" s="480">
        <f t="shared" si="0"/>
        <v>0</v>
      </c>
      <c r="K20" s="345"/>
      <c r="L20" s="345"/>
      <c r="M20" s="344"/>
    </row>
    <row r="21" spans="2:13" ht="14.25" hidden="1">
      <c r="B21" s="338"/>
      <c r="C21" s="481" t="s">
        <v>98</v>
      </c>
      <c r="D21" s="478">
        <f>AUXILIAR!J18</f>
        <v>0</v>
      </c>
      <c r="E21" s="478"/>
      <c r="F21" s="478">
        <f>AUXILIAR!K18</f>
        <v>0</v>
      </c>
      <c r="G21" s="478"/>
      <c r="H21" s="478">
        <f t="shared" si="1"/>
        <v>0</v>
      </c>
      <c r="I21" s="479"/>
      <c r="J21" s="480">
        <f t="shared" si="0"/>
        <v>0</v>
      </c>
      <c r="K21" s="345"/>
      <c r="L21" s="345"/>
      <c r="M21" s="344"/>
    </row>
    <row r="22" spans="2:13" ht="14.25">
      <c r="B22" s="338"/>
      <c r="C22" s="484" t="s">
        <v>183</v>
      </c>
      <c r="D22" s="478">
        <f>AUXILIAR!J20</f>
        <v>0</v>
      </c>
      <c r="E22" s="478"/>
      <c r="F22" s="478">
        <f>AUXILIAR!K20</f>
        <v>0</v>
      </c>
      <c r="G22" s="478"/>
      <c r="H22" s="478">
        <f t="shared" si="1"/>
        <v>0</v>
      </c>
      <c r="I22" s="479"/>
      <c r="J22" s="480">
        <f>H22</f>
        <v>0</v>
      </c>
      <c r="K22" s="345"/>
      <c r="L22" s="345"/>
      <c r="M22" s="344"/>
    </row>
    <row r="23" spans="2:13" ht="14.25">
      <c r="B23" s="338"/>
      <c r="C23" s="484" t="s">
        <v>184</v>
      </c>
      <c r="D23" s="478">
        <f>AUXILIAR!J24</f>
        <v>0</v>
      </c>
      <c r="E23" s="478"/>
      <c r="F23" s="478">
        <f>AUXILIAR!K24</f>
        <v>0</v>
      </c>
      <c r="G23" s="478"/>
      <c r="H23" s="478">
        <f t="shared" si="1"/>
        <v>0</v>
      </c>
      <c r="I23" s="479"/>
      <c r="J23" s="480">
        <f>H23</f>
        <v>0</v>
      </c>
      <c r="K23" s="345"/>
      <c r="L23" s="345"/>
      <c r="M23" s="344"/>
    </row>
    <row r="24" spans="2:13" ht="14.25">
      <c r="B24" s="338"/>
      <c r="C24" s="484" t="s">
        <v>185</v>
      </c>
      <c r="D24" s="485">
        <f>AUXILIAR!J26</f>
        <v>0</v>
      </c>
      <c r="E24" s="485"/>
      <c r="F24" s="485">
        <f>AUXILIAR!K26</f>
        <v>0</v>
      </c>
      <c r="G24" s="485"/>
      <c r="H24" s="486">
        <f t="shared" si="1"/>
        <v>0</v>
      </c>
      <c r="I24" s="479"/>
      <c r="J24" s="480">
        <f>H24</f>
        <v>0</v>
      </c>
      <c r="K24" s="345"/>
      <c r="L24" s="345"/>
      <c r="M24" s="344"/>
    </row>
    <row r="25" spans="2:13" ht="14.25">
      <c r="B25" s="338"/>
      <c r="C25" s="487" t="s">
        <v>186</v>
      </c>
      <c r="D25" s="478">
        <f>AUXILIAR!J32</f>
        <v>0</v>
      </c>
      <c r="E25" s="478"/>
      <c r="F25" s="478">
        <f>AUXILIAR!K32</f>
        <v>0</v>
      </c>
      <c r="G25" s="478"/>
      <c r="H25" s="478">
        <f t="shared" si="1"/>
        <v>0</v>
      </c>
      <c r="I25" s="479"/>
      <c r="J25" s="480">
        <f>H25</f>
        <v>0</v>
      </c>
      <c r="K25" s="345"/>
      <c r="L25" s="345"/>
      <c r="M25" s="336"/>
    </row>
    <row r="26" spans="2:13" ht="15" thickBot="1">
      <c r="B26" s="338"/>
      <c r="C26" s="488" t="s">
        <v>265</v>
      </c>
      <c r="D26" s="478">
        <f>D27+D34+D39</f>
        <v>-522.5</v>
      </c>
      <c r="E26" s="478"/>
      <c r="F26" s="478">
        <f>F27+F34+F39</f>
        <v>-522.5</v>
      </c>
      <c r="G26" s="478"/>
      <c r="H26" s="478">
        <f t="shared" si="1"/>
        <v>0</v>
      </c>
      <c r="I26" s="479"/>
      <c r="J26" s="480">
        <f>H26</f>
        <v>0</v>
      </c>
      <c r="K26" s="345"/>
      <c r="L26" s="345"/>
      <c r="M26" s="336"/>
    </row>
    <row r="27" spans="2:13" ht="14.25" hidden="1">
      <c r="B27" s="338"/>
      <c r="C27" s="489" t="s">
        <v>29</v>
      </c>
      <c r="D27" s="478">
        <f>AUXILIAR!J35</f>
        <v>-522.5</v>
      </c>
      <c r="E27" s="478"/>
      <c r="F27" s="478">
        <f>AUXILIAR!K35</f>
        <v>-522.5</v>
      </c>
      <c r="G27" s="478"/>
      <c r="H27" s="478">
        <f t="shared" si="1"/>
        <v>0</v>
      </c>
      <c r="I27" s="479"/>
      <c r="J27" s="480">
        <f t="shared" si="0"/>
        <v>0</v>
      </c>
      <c r="K27" s="345"/>
      <c r="L27" s="345"/>
      <c r="M27" s="336"/>
    </row>
    <row r="28" spans="2:13" ht="14.25" hidden="1">
      <c r="B28" s="338"/>
      <c r="C28" s="489" t="s">
        <v>266</v>
      </c>
      <c r="D28" s="478"/>
      <c r="E28" s="478"/>
      <c r="F28" s="478"/>
      <c r="G28" s="478"/>
      <c r="H28" s="478"/>
      <c r="I28" s="479"/>
      <c r="J28" s="480"/>
      <c r="K28" s="345"/>
      <c r="L28" s="345"/>
      <c r="M28" s="336"/>
    </row>
    <row r="29" spans="2:13" ht="14.25" hidden="1">
      <c r="B29" s="338"/>
      <c r="C29" s="490" t="s">
        <v>334</v>
      </c>
      <c r="D29" s="478">
        <f>AUXILIAR!J36</f>
        <v>0</v>
      </c>
      <c r="E29" s="478"/>
      <c r="F29" s="478">
        <f>AUXILIAR!K36</f>
        <v>0</v>
      </c>
      <c r="G29" s="478"/>
      <c r="H29" s="478">
        <f t="shared" si="1"/>
        <v>0</v>
      </c>
      <c r="I29" s="479"/>
      <c r="J29" s="480">
        <f t="shared" si="0"/>
        <v>0</v>
      </c>
      <c r="K29" s="345"/>
      <c r="L29" s="345"/>
      <c r="M29" s="336"/>
    </row>
    <row r="30" spans="2:13" ht="14.25" hidden="1">
      <c r="B30" s="338"/>
      <c r="C30" s="490" t="s">
        <v>335</v>
      </c>
      <c r="D30" s="478">
        <f>AUXILIAR!J37</f>
        <v>0</v>
      </c>
      <c r="E30" s="478"/>
      <c r="F30" s="478">
        <f>AUXILIAR!K37</f>
        <v>0</v>
      </c>
      <c r="G30" s="478"/>
      <c r="H30" s="478">
        <f t="shared" si="1"/>
        <v>0</v>
      </c>
      <c r="I30" s="479"/>
      <c r="J30" s="480">
        <f t="shared" si="0"/>
        <v>0</v>
      </c>
      <c r="K30" s="345"/>
      <c r="L30" s="345"/>
      <c r="M30" s="336"/>
    </row>
    <row r="31" spans="2:13" ht="14.25" hidden="1">
      <c r="B31" s="338"/>
      <c r="C31" s="490" t="s">
        <v>336</v>
      </c>
      <c r="D31" s="478">
        <f>AUXILIAR!J38</f>
        <v>0</v>
      </c>
      <c r="E31" s="478"/>
      <c r="F31" s="478">
        <f>AUXILIAR!K38</f>
        <v>0</v>
      </c>
      <c r="G31" s="478"/>
      <c r="H31" s="478">
        <f t="shared" si="1"/>
        <v>0</v>
      </c>
      <c r="I31" s="479"/>
      <c r="J31" s="480">
        <f t="shared" si="0"/>
        <v>0</v>
      </c>
      <c r="K31" s="345"/>
      <c r="L31" s="345"/>
      <c r="M31" s="336"/>
    </row>
    <row r="32" spans="2:13" ht="14.25" hidden="1">
      <c r="B32" s="338"/>
      <c r="C32" s="490" t="s">
        <v>337</v>
      </c>
      <c r="D32" s="478">
        <f>AUXILIAR!J40</f>
        <v>0</v>
      </c>
      <c r="E32" s="478"/>
      <c r="F32" s="478">
        <f>AUXILIAR!K40</f>
        <v>0</v>
      </c>
      <c r="G32" s="478"/>
      <c r="H32" s="478">
        <f t="shared" si="1"/>
        <v>0</v>
      </c>
      <c r="I32" s="479"/>
      <c r="J32" s="480">
        <f t="shared" si="0"/>
        <v>0</v>
      </c>
      <c r="K32" s="345"/>
      <c r="L32" s="345"/>
      <c r="M32" s="336"/>
    </row>
    <row r="33" spans="2:13" ht="14.25" hidden="1">
      <c r="B33" s="338"/>
      <c r="C33" s="490" t="s">
        <v>338</v>
      </c>
      <c r="D33" s="478">
        <f>AUXILIAR!J41</f>
        <v>0</v>
      </c>
      <c r="E33" s="478"/>
      <c r="F33" s="478">
        <f>AUXILIAR!K41</f>
        <v>0</v>
      </c>
      <c r="G33" s="478"/>
      <c r="H33" s="478">
        <f t="shared" si="1"/>
        <v>0</v>
      </c>
      <c r="I33" s="479"/>
      <c r="J33" s="480">
        <f t="shared" si="0"/>
        <v>0</v>
      </c>
      <c r="K33" s="345"/>
      <c r="L33" s="345"/>
      <c r="M33" s="336"/>
    </row>
    <row r="34" spans="2:13" ht="14.25" hidden="1">
      <c r="B34" s="338"/>
      <c r="C34" s="491" t="s">
        <v>290</v>
      </c>
      <c r="D34" s="478">
        <f>AUXILIAR!J42</f>
        <v>0</v>
      </c>
      <c r="E34" s="478"/>
      <c r="F34" s="478">
        <f>AUXILIAR!K42</f>
        <v>0</v>
      </c>
      <c r="G34" s="478"/>
      <c r="H34" s="478">
        <f t="shared" si="1"/>
        <v>0</v>
      </c>
      <c r="I34" s="479"/>
      <c r="J34" s="480">
        <f t="shared" si="0"/>
        <v>0</v>
      </c>
      <c r="K34" s="345"/>
      <c r="L34" s="345"/>
      <c r="M34" s="336"/>
    </row>
    <row r="35" spans="2:13" ht="14.25" hidden="1">
      <c r="B35" s="338"/>
      <c r="C35" s="489" t="s">
        <v>187</v>
      </c>
      <c r="D35" s="478"/>
      <c r="E35" s="478"/>
      <c r="F35" s="478"/>
      <c r="G35" s="478"/>
      <c r="H35" s="478"/>
      <c r="I35" s="479"/>
      <c r="J35" s="480"/>
      <c r="K35" s="345"/>
      <c r="L35" s="345"/>
      <c r="M35" s="336"/>
    </row>
    <row r="36" spans="2:13" ht="14.25" hidden="1">
      <c r="B36" s="338"/>
      <c r="C36" s="490" t="s">
        <v>267</v>
      </c>
      <c r="D36" s="478">
        <f>AUXILIAR!J45</f>
        <v>0</v>
      </c>
      <c r="E36" s="478"/>
      <c r="F36" s="478">
        <f>AUXILIAR!K45</f>
        <v>0</v>
      </c>
      <c r="G36" s="478"/>
      <c r="H36" s="478">
        <f t="shared" si="1"/>
        <v>0</v>
      </c>
      <c r="I36" s="479"/>
      <c r="J36" s="480">
        <f t="shared" si="0"/>
        <v>0</v>
      </c>
      <c r="K36" s="345"/>
      <c r="L36" s="345"/>
      <c r="M36" s="336"/>
    </row>
    <row r="37" spans="2:13" ht="14.25" hidden="1">
      <c r="B37" s="338"/>
      <c r="C37" s="490" t="s">
        <v>188</v>
      </c>
      <c r="D37" s="478">
        <f>AUXILIAR!J46</f>
        <v>0</v>
      </c>
      <c r="E37" s="478"/>
      <c r="F37" s="478">
        <f>AUXILIAR!K46</f>
        <v>0</v>
      </c>
      <c r="G37" s="478"/>
      <c r="H37" s="478">
        <f t="shared" si="1"/>
        <v>0</v>
      </c>
      <c r="I37" s="479"/>
      <c r="J37" s="480">
        <f t="shared" si="0"/>
        <v>0</v>
      </c>
      <c r="K37" s="345"/>
      <c r="L37" s="345"/>
      <c r="M37" s="336"/>
    </row>
    <row r="38" spans="2:13" ht="14.25" hidden="1">
      <c r="B38" s="338"/>
      <c r="C38" s="490" t="s">
        <v>268</v>
      </c>
      <c r="D38" s="478">
        <f>AUXILIAR!J48</f>
        <v>0</v>
      </c>
      <c r="E38" s="478"/>
      <c r="F38" s="478">
        <f>AUXILIAR!K48</f>
        <v>0</v>
      </c>
      <c r="G38" s="478"/>
      <c r="H38" s="478">
        <f t="shared" si="1"/>
        <v>0</v>
      </c>
      <c r="I38" s="479"/>
      <c r="J38" s="480">
        <f t="shared" si="0"/>
        <v>0</v>
      </c>
      <c r="K38" s="345"/>
      <c r="L38" s="345"/>
      <c r="M38" s="336"/>
    </row>
    <row r="39" spans="2:13" ht="15" hidden="1" thickBot="1">
      <c r="B39" s="338"/>
      <c r="C39" s="492" t="s">
        <v>290</v>
      </c>
      <c r="D39" s="499">
        <f>AUXILIAR!J49</f>
        <v>0</v>
      </c>
      <c r="E39" s="499"/>
      <c r="F39" s="499">
        <f>AUXILIAR!K49</f>
        <v>0</v>
      </c>
      <c r="G39" s="499"/>
      <c r="H39" s="499">
        <f t="shared" si="1"/>
        <v>0</v>
      </c>
      <c r="I39" s="500"/>
      <c r="J39" s="501">
        <f t="shared" si="0"/>
        <v>0</v>
      </c>
      <c r="K39" s="345"/>
      <c r="L39" s="345"/>
      <c r="M39" s="336"/>
    </row>
    <row r="40" spans="2:13" ht="15" thickBot="1">
      <c r="B40" s="338"/>
      <c r="C40" s="493" t="s">
        <v>189</v>
      </c>
      <c r="D40" s="509">
        <f>AUXILIAR!J51</f>
        <v>0</v>
      </c>
      <c r="E40" s="510"/>
      <c r="F40" s="510">
        <f>AUXILIAR!K51</f>
        <v>0</v>
      </c>
      <c r="G40" s="510"/>
      <c r="H40" s="510">
        <f t="shared" si="1"/>
        <v>0</v>
      </c>
      <c r="I40" s="511"/>
      <c r="J40" s="512">
        <f t="shared" si="0"/>
        <v>0</v>
      </c>
      <c r="K40" s="345"/>
      <c r="L40" s="345"/>
      <c r="M40" s="336"/>
    </row>
    <row r="41" spans="2:13" ht="15">
      <c r="B41" s="338"/>
      <c r="C41" s="494" t="s">
        <v>320</v>
      </c>
      <c r="D41" s="478">
        <f>AUXILIAR!J55</f>
        <v>0</v>
      </c>
      <c r="E41" s="478"/>
      <c r="F41" s="495" t="str">
        <f>AUXILIAR!K55</f>
        <v>N/A</v>
      </c>
      <c r="G41" s="495"/>
      <c r="H41" s="478"/>
      <c r="I41" s="479"/>
      <c r="J41" s="496"/>
      <c r="K41" s="345"/>
      <c r="L41" s="345"/>
      <c r="M41" s="336"/>
    </row>
    <row r="42" spans="2:13" s="369" customFormat="1" ht="15" hidden="1">
      <c r="B42" s="368"/>
      <c r="C42" s="497" t="s">
        <v>327</v>
      </c>
      <c r="D42" s="478">
        <f>AUXILIAR!H387</f>
        <v>0</v>
      </c>
      <c r="E42" s="478"/>
      <c r="F42" s="495" t="s">
        <v>72</v>
      </c>
      <c r="G42" s="495"/>
      <c r="H42" s="478"/>
      <c r="I42" s="479"/>
      <c r="J42" s="496"/>
      <c r="K42" s="345"/>
      <c r="L42" s="345"/>
      <c r="M42" s="336"/>
    </row>
    <row r="43" spans="2:13" s="369" customFormat="1" ht="15" hidden="1">
      <c r="B43" s="368"/>
      <c r="C43" s="497" t="s">
        <v>328</v>
      </c>
      <c r="D43" s="478">
        <f>AUXILIAR!H388</f>
        <v>0</v>
      </c>
      <c r="E43" s="478"/>
      <c r="F43" s="495" t="s">
        <v>72</v>
      </c>
      <c r="G43" s="495"/>
      <c r="H43" s="478"/>
      <c r="I43" s="479"/>
      <c r="J43" s="496"/>
      <c r="K43" s="345"/>
      <c r="L43" s="345"/>
      <c r="M43" s="336"/>
    </row>
    <row r="44" spans="2:13" s="369" customFormat="1" ht="15" hidden="1">
      <c r="B44" s="368"/>
      <c r="C44" s="497" t="s">
        <v>329</v>
      </c>
      <c r="D44" s="478">
        <f>AUXILIAR!H389</f>
        <v>0</v>
      </c>
      <c r="E44" s="478"/>
      <c r="F44" s="495" t="s">
        <v>72</v>
      </c>
      <c r="G44" s="495"/>
      <c r="H44" s="478"/>
      <c r="I44" s="479"/>
      <c r="J44" s="496"/>
      <c r="K44" s="345"/>
      <c r="L44" s="345"/>
      <c r="M44" s="336"/>
    </row>
    <row r="45" spans="2:13" s="369" customFormat="1" ht="15" hidden="1">
      <c r="B45" s="368"/>
      <c r="C45" s="497" t="s">
        <v>232</v>
      </c>
      <c r="D45" s="478">
        <f>AUXILIAR!H391</f>
        <v>0</v>
      </c>
      <c r="E45" s="478"/>
      <c r="F45" s="495" t="s">
        <v>72</v>
      </c>
      <c r="G45" s="495"/>
      <c r="H45" s="478"/>
      <c r="I45" s="479"/>
      <c r="J45" s="496"/>
      <c r="K45" s="345"/>
      <c r="L45" s="345"/>
      <c r="M45" s="336"/>
    </row>
    <row r="46" spans="2:13" s="369" customFormat="1" ht="15" hidden="1">
      <c r="B46" s="368"/>
      <c r="C46" s="497" t="s">
        <v>272</v>
      </c>
      <c r="D46" s="478">
        <f>AUXILIAR!H390</f>
        <v>0</v>
      </c>
      <c r="E46" s="478"/>
      <c r="F46" s="495" t="s">
        <v>72</v>
      </c>
      <c r="G46" s="495"/>
      <c r="H46" s="478"/>
      <c r="I46" s="479"/>
      <c r="J46" s="496"/>
      <c r="K46" s="345"/>
      <c r="L46" s="345"/>
      <c r="M46" s="336"/>
    </row>
    <row r="47" spans="2:13" s="369" customFormat="1" ht="15" hidden="1">
      <c r="B47" s="368"/>
      <c r="C47" s="497" t="s">
        <v>233</v>
      </c>
      <c r="D47" s="478">
        <f>AUXILIAR!H392</f>
        <v>0</v>
      </c>
      <c r="E47" s="478"/>
      <c r="F47" s="495" t="s">
        <v>72</v>
      </c>
      <c r="G47" s="495"/>
      <c r="H47" s="478"/>
      <c r="I47" s="479"/>
      <c r="J47" s="496"/>
      <c r="K47" s="345"/>
      <c r="L47" s="345"/>
      <c r="M47" s="336"/>
    </row>
    <row r="48" spans="2:13" ht="15.75" thickBot="1">
      <c r="B48" s="338"/>
      <c r="C48" s="498" t="s">
        <v>321</v>
      </c>
      <c r="D48" s="495" t="str">
        <f>AUXILIAR!J57</f>
        <v>N/A</v>
      </c>
      <c r="E48" s="478"/>
      <c r="F48" s="478">
        <f>AUXILIAR!K57</f>
        <v>0</v>
      </c>
      <c r="G48" s="478"/>
      <c r="H48" s="478"/>
      <c r="I48" s="479"/>
      <c r="J48" s="496"/>
      <c r="K48" s="345"/>
      <c r="L48" s="345"/>
      <c r="M48" s="336"/>
    </row>
    <row r="49" spans="2:13" s="369" customFormat="1" ht="15" hidden="1">
      <c r="B49" s="368"/>
      <c r="C49" s="497" t="s">
        <v>327</v>
      </c>
      <c r="D49" s="495" t="s">
        <v>72</v>
      </c>
      <c r="E49" s="478"/>
      <c r="F49" s="478">
        <f>AUXILIAR!K24</f>
        <v>0</v>
      </c>
      <c r="G49" s="478"/>
      <c r="H49" s="478"/>
      <c r="I49" s="479"/>
      <c r="J49" s="496"/>
      <c r="K49" s="345"/>
      <c r="L49" s="345"/>
      <c r="M49" s="336"/>
    </row>
    <row r="50" spans="2:13" s="369" customFormat="1" ht="15" hidden="1">
      <c r="B50" s="368"/>
      <c r="C50" s="497" t="s">
        <v>230</v>
      </c>
      <c r="D50" s="495" t="s">
        <v>72</v>
      </c>
      <c r="E50" s="478"/>
      <c r="F50" s="478">
        <f>AUXILIAR!I113</f>
        <v>153300</v>
      </c>
      <c r="G50" s="478"/>
      <c r="H50" s="478"/>
      <c r="I50" s="479"/>
      <c r="J50" s="496"/>
      <c r="K50" s="345"/>
      <c r="L50" s="345"/>
      <c r="M50" s="336"/>
    </row>
    <row r="51" spans="2:13" s="369" customFormat="1" ht="15" hidden="1">
      <c r="B51" s="368"/>
      <c r="C51" s="497" t="s">
        <v>231</v>
      </c>
      <c r="D51" s="495" t="s">
        <v>72</v>
      </c>
      <c r="E51" s="478"/>
      <c r="F51" s="495" t="str">
        <f>IF(F49-F50&gt;0,F49-F50,"N/A")</f>
        <v>N/A</v>
      </c>
      <c r="G51" s="478"/>
      <c r="H51" s="478"/>
      <c r="I51" s="479"/>
      <c r="J51" s="496"/>
      <c r="K51" s="345"/>
      <c r="L51" s="345"/>
      <c r="M51" s="336"/>
    </row>
    <row r="52" spans="2:13" s="369" customFormat="1" ht="15.75" hidden="1" thickBot="1">
      <c r="B52" s="368"/>
      <c r="C52" s="497" t="s">
        <v>271</v>
      </c>
      <c r="D52" s="513" t="s">
        <v>72</v>
      </c>
      <c r="E52" s="499"/>
      <c r="F52" s="513" t="str">
        <f>IF(F49-F50&gt;0,AUXILIAR!K57,"N/A")</f>
        <v>N/A</v>
      </c>
      <c r="G52" s="499"/>
      <c r="H52" s="499"/>
      <c r="I52" s="500"/>
      <c r="J52" s="514"/>
      <c r="K52" s="345"/>
      <c r="L52" s="345"/>
      <c r="M52" s="336"/>
    </row>
    <row r="53" spans="2:13" ht="15" thickBot="1">
      <c r="B53" s="338"/>
      <c r="C53" s="493" t="s">
        <v>190</v>
      </c>
      <c r="D53" s="509">
        <f>AUXILIAR!J51+AUXILIAR!J55</f>
        <v>0</v>
      </c>
      <c r="E53" s="510"/>
      <c r="F53" s="510">
        <f>AUXILIAR!K51+AUXILIAR!K57</f>
        <v>0</v>
      </c>
      <c r="G53" s="510"/>
      <c r="H53" s="510">
        <f>ABS(F53-D53)</f>
        <v>0</v>
      </c>
      <c r="I53" s="511"/>
      <c r="J53" s="512">
        <f>-(D53-F53)</f>
        <v>0</v>
      </c>
      <c r="K53" s="345"/>
      <c r="L53" s="345"/>
      <c r="M53" s="336"/>
    </row>
    <row r="54" spans="2:13" ht="15" thickBot="1">
      <c r="B54" s="338"/>
      <c r="C54" s="493" t="s">
        <v>191</v>
      </c>
      <c r="D54" s="509">
        <f>AUXILIAR!J53</f>
        <v>0</v>
      </c>
      <c r="E54" s="510"/>
      <c r="F54" s="510">
        <f>AUXILIAR!K53</f>
        <v>0</v>
      </c>
      <c r="G54" s="510"/>
      <c r="H54" s="510">
        <f t="shared" si="1"/>
        <v>0</v>
      </c>
      <c r="I54" s="511"/>
      <c r="J54" s="512"/>
      <c r="K54" s="345"/>
      <c r="L54" s="345"/>
      <c r="M54" s="346"/>
    </row>
    <row r="55" spans="2:13" ht="15" thickBot="1">
      <c r="B55" s="338"/>
      <c r="C55" s="493" t="str">
        <f>AUXILIAR!E59</f>
        <v>REEMBOLSO DE IRS</v>
      </c>
      <c r="D55" s="509">
        <f>AUXILIAR!J59</f>
        <v>0</v>
      </c>
      <c r="E55" s="510"/>
      <c r="F55" s="510">
        <f>AUXILIAR!K59</f>
        <v>0</v>
      </c>
      <c r="G55" s="510"/>
      <c r="H55" s="511">
        <f t="shared" si="1"/>
        <v>0</v>
      </c>
      <c r="I55" s="512"/>
      <c r="J55" s="515">
        <f>-(D55-F55)</f>
        <v>0</v>
      </c>
      <c r="K55" s="380"/>
      <c r="L55" s="345"/>
      <c r="M55" s="346"/>
    </row>
    <row r="56" spans="2:13" ht="12" customHeight="1">
      <c r="B56" s="338"/>
      <c r="C56" s="570"/>
      <c r="D56" s="571"/>
      <c r="E56" s="571"/>
      <c r="F56" s="571"/>
      <c r="G56" s="499"/>
      <c r="H56" s="499"/>
      <c r="I56" s="500"/>
      <c r="J56" s="501"/>
      <c r="K56" s="345"/>
      <c r="L56" s="345"/>
      <c r="M56" s="346"/>
    </row>
    <row r="57" spans="2:13" s="385" customFormat="1" ht="30" customHeight="1" hidden="1">
      <c r="B57" s="381"/>
      <c r="C57" s="568" t="s">
        <v>339</v>
      </c>
      <c r="D57" s="568"/>
      <c r="E57" s="568"/>
      <c r="F57" s="568"/>
      <c r="G57" s="502"/>
      <c r="H57" s="502"/>
      <c r="I57" s="502"/>
      <c r="J57" s="502"/>
      <c r="K57" s="382"/>
      <c r="L57" s="383"/>
      <c r="M57" s="384"/>
    </row>
    <row r="58" spans="2:13" ht="138.75" customHeight="1">
      <c r="B58" s="338"/>
      <c r="C58" s="546"/>
      <c r="D58" s="504"/>
      <c r="E58" s="504"/>
      <c r="F58" s="505"/>
      <c r="G58" s="505"/>
      <c r="H58" s="505"/>
      <c r="I58" s="505"/>
      <c r="J58" s="506"/>
      <c r="K58" s="347"/>
      <c r="L58" s="348"/>
      <c r="M58" s="349"/>
    </row>
    <row r="59" spans="2:13" ht="14.25">
      <c r="B59" s="338"/>
      <c r="C59" s="503"/>
      <c r="D59" s="503"/>
      <c r="E59" s="503"/>
      <c r="F59" s="503"/>
      <c r="G59" s="503"/>
      <c r="H59" s="503"/>
      <c r="I59" s="503"/>
      <c r="J59" s="507"/>
      <c r="K59" s="348"/>
      <c r="L59" s="348"/>
      <c r="M59" s="349"/>
    </row>
    <row r="60" spans="2:13" ht="14.25">
      <c r="B60" s="338"/>
      <c r="C60" s="503"/>
      <c r="D60" s="503"/>
      <c r="E60" s="503"/>
      <c r="F60" s="503"/>
      <c r="G60" s="503"/>
      <c r="H60" s="503"/>
      <c r="I60" s="503"/>
      <c r="J60" s="507"/>
      <c r="K60" s="348"/>
      <c r="L60" s="348"/>
      <c r="M60" s="349"/>
    </row>
    <row r="61" spans="3:10" ht="14.25">
      <c r="C61" s="415"/>
      <c r="D61" s="415"/>
      <c r="E61" s="415"/>
      <c r="F61" s="415"/>
      <c r="G61" s="415"/>
      <c r="H61" s="415"/>
      <c r="I61" s="415"/>
      <c r="J61" s="508"/>
    </row>
    <row r="62" spans="3:10" ht="14.25">
      <c r="C62" s="415"/>
      <c r="D62" s="415"/>
      <c r="E62" s="415"/>
      <c r="F62" s="415"/>
      <c r="G62" s="415"/>
      <c r="H62" s="415"/>
      <c r="I62" s="415"/>
      <c r="J62" s="508"/>
    </row>
    <row r="63" spans="3:10" ht="14.25">
      <c r="C63" s="415"/>
      <c r="D63" s="415"/>
      <c r="E63" s="415"/>
      <c r="F63" s="415"/>
      <c r="G63" s="415"/>
      <c r="H63" s="415"/>
      <c r="I63" s="415"/>
      <c r="J63" s="508"/>
    </row>
  </sheetData>
  <sheetProtection password="C7EC" sheet="1" formatRows="0" selectLockedCells="1" selectUnlockedCells="1"/>
  <mergeCells count="6">
    <mergeCell ref="C10:C11"/>
    <mergeCell ref="D10:F10"/>
    <mergeCell ref="H10:M10"/>
    <mergeCell ref="C57:F57"/>
    <mergeCell ref="C9:H9"/>
    <mergeCell ref="C56:F56"/>
  </mergeCells>
  <conditionalFormatting sqref="J12:J56">
    <cfRule type="iconSet" priority="5" dxfId="2">
      <iconSet iconSet="3TrafficLights1" reverse="1">
        <cfvo type="percent" val="0"/>
        <cfvo type="num" val="0"/>
        <cfvo gte="0" type="num" val="$H$12&gt;0"/>
      </iconSet>
    </cfRule>
  </conditionalFormatting>
  <conditionalFormatting sqref="I55">
    <cfRule type="iconSet" priority="1" dxfId="2">
      <iconSet iconSet="3TrafficLights1" reverse="1">
        <cfvo type="percent" val="0"/>
        <cfvo type="num" val="0"/>
        <cfvo gte="0" type="num" val="$H$12&gt;0"/>
      </iconSet>
    </cfRule>
  </conditionalFormatting>
  <printOptions/>
  <pageMargins left="0.7" right="0.7" top="0.75" bottom="0.75" header="0.3" footer="0.3"/>
  <pageSetup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M69"/>
  <sheetViews>
    <sheetView showGridLines="0" showRowColHeaders="0"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4.25"/>
  <cols>
    <col min="1" max="1" width="6.75390625" style="363" customWidth="1"/>
    <col min="2" max="3" width="23.50390625" style="365" customWidth="1"/>
    <col min="4" max="5" width="23.25390625" style="365" customWidth="1"/>
    <col min="6" max="6" width="9.875" style="363" customWidth="1"/>
    <col min="7" max="16384" width="9.00390625" style="363" customWidth="1"/>
  </cols>
  <sheetData>
    <row r="1" spans="2:13" s="361" customFormat="1" ht="66.75" customHeight="1" thickBot="1">
      <c r="B1" s="584"/>
      <c r="C1" s="584"/>
      <c r="D1" s="584"/>
      <c r="E1" s="584"/>
      <c r="F1" s="362"/>
      <c r="G1" s="362"/>
      <c r="H1" s="362"/>
      <c r="I1" s="362"/>
      <c r="J1" s="362"/>
      <c r="K1" s="362"/>
      <c r="L1" s="362"/>
      <c r="M1" s="363"/>
    </row>
    <row r="2" spans="2:6" s="364" customFormat="1" ht="31.5" customHeight="1">
      <c r="B2" s="409" t="s">
        <v>326</v>
      </c>
      <c r="C2" s="333"/>
      <c r="D2" s="333"/>
      <c r="E2" s="333"/>
      <c r="F2" s="333"/>
    </row>
    <row r="3" spans="1:6" ht="14.25">
      <c r="A3" s="518"/>
      <c r="B3" s="521"/>
      <c r="C3" s="521"/>
      <c r="D3" s="521"/>
      <c r="E3" s="521"/>
      <c r="F3" s="518"/>
    </row>
    <row r="4" spans="1:6" ht="62.25" customHeight="1">
      <c r="A4" s="518"/>
      <c r="B4" s="576"/>
      <c r="C4" s="576"/>
      <c r="D4" s="576"/>
      <c r="E4" s="576"/>
      <c r="F4" s="518"/>
    </row>
    <row r="5" spans="1:6" s="366" customFormat="1" ht="7.5" customHeight="1">
      <c r="A5" s="519"/>
      <c r="B5" s="581"/>
      <c r="C5" s="581"/>
      <c r="D5" s="581"/>
      <c r="E5" s="581"/>
      <c r="F5" s="519"/>
    </row>
    <row r="6" spans="1:6" s="366" customFormat="1" ht="28.5" customHeight="1">
      <c r="A6" s="519"/>
      <c r="B6" s="581" t="s">
        <v>237</v>
      </c>
      <c r="C6" s="581"/>
      <c r="D6" s="581"/>
      <c r="E6" s="581"/>
      <c r="F6" s="519"/>
    </row>
    <row r="7" spans="1:6" s="366" customFormat="1" ht="30" customHeight="1">
      <c r="A7" s="519"/>
      <c r="B7" s="583" t="s">
        <v>304</v>
      </c>
      <c r="C7" s="583"/>
      <c r="D7" s="583"/>
      <c r="E7" s="583"/>
      <c r="F7" s="519"/>
    </row>
    <row r="8" spans="1:6" s="366" customFormat="1" ht="14.25">
      <c r="A8" s="519"/>
      <c r="B8" s="581" t="s">
        <v>305</v>
      </c>
      <c r="C8" s="581"/>
      <c r="D8" s="581"/>
      <c r="E8" s="581"/>
      <c r="F8" s="519"/>
    </row>
    <row r="9" spans="1:6" s="366" customFormat="1" ht="28.5" customHeight="1">
      <c r="A9" s="519"/>
      <c r="B9" s="581" t="s">
        <v>276</v>
      </c>
      <c r="C9" s="581"/>
      <c r="D9" s="581"/>
      <c r="E9" s="581"/>
      <c r="F9" s="519"/>
    </row>
    <row r="10" spans="1:6" ht="27" customHeight="1">
      <c r="A10" s="518"/>
      <c r="B10" s="525"/>
      <c r="C10" s="525"/>
      <c r="D10" s="525"/>
      <c r="E10" s="525"/>
      <c r="F10" s="518"/>
    </row>
    <row r="11" spans="1:6" ht="56.25" customHeight="1">
      <c r="A11" s="518"/>
      <c r="B11" s="576"/>
      <c r="C11" s="576"/>
      <c r="D11" s="576"/>
      <c r="E11" s="576"/>
      <c r="F11" s="518"/>
    </row>
    <row r="12" spans="1:6" ht="18" customHeight="1">
      <c r="A12" s="518"/>
      <c r="B12" s="580" t="s">
        <v>306</v>
      </c>
      <c r="C12" s="580"/>
      <c r="D12" s="580"/>
      <c r="E12" s="580"/>
      <c r="F12" s="518"/>
    </row>
    <row r="13" spans="1:6" ht="28.5" customHeight="1">
      <c r="A13" s="518"/>
      <c r="B13" s="581" t="s">
        <v>222</v>
      </c>
      <c r="C13" s="581"/>
      <c r="D13" s="581"/>
      <c r="E13" s="581"/>
      <c r="F13" s="518"/>
    </row>
    <row r="14" spans="1:6" s="367" customFormat="1" ht="27" customHeight="1">
      <c r="A14" s="520"/>
      <c r="B14" s="526"/>
      <c r="C14" s="526"/>
      <c r="D14" s="526"/>
      <c r="E14" s="526"/>
      <c r="F14" s="520"/>
    </row>
    <row r="15" spans="1:6" ht="70.5" customHeight="1">
      <c r="A15" s="518"/>
      <c r="B15" s="576"/>
      <c r="C15" s="576"/>
      <c r="D15" s="576"/>
      <c r="E15" s="576"/>
      <c r="F15" s="518"/>
    </row>
    <row r="16" spans="1:6" ht="28.5" customHeight="1">
      <c r="A16" s="518"/>
      <c r="B16" s="581" t="s">
        <v>307</v>
      </c>
      <c r="C16" s="581"/>
      <c r="D16" s="581"/>
      <c r="E16" s="581"/>
      <c r="F16" s="518"/>
    </row>
    <row r="17" spans="1:6" ht="45" customHeight="1">
      <c r="A17" s="518"/>
      <c r="B17" s="581" t="s">
        <v>292</v>
      </c>
      <c r="C17" s="581"/>
      <c r="D17" s="581"/>
      <c r="E17" s="581"/>
      <c r="F17" s="518"/>
    </row>
    <row r="18" spans="1:6" ht="14.25">
      <c r="A18" s="520"/>
      <c r="B18" s="576"/>
      <c r="C18" s="576"/>
      <c r="D18" s="576"/>
      <c r="E18" s="576"/>
      <c r="F18" s="520"/>
    </row>
    <row r="19" spans="1:6" ht="81" customHeight="1">
      <c r="A19" s="520"/>
      <c r="B19" s="576"/>
      <c r="C19" s="576"/>
      <c r="D19" s="576"/>
      <c r="E19" s="576"/>
      <c r="F19" s="518"/>
    </row>
    <row r="20" spans="1:6" ht="28.5" customHeight="1">
      <c r="A20" s="518"/>
      <c r="B20" s="582" t="s">
        <v>239</v>
      </c>
      <c r="C20" s="582"/>
      <c r="D20" s="582"/>
      <c r="E20" s="582"/>
      <c r="F20" s="518"/>
    </row>
    <row r="21" spans="1:6" ht="27" customHeight="1">
      <c r="A21" s="518"/>
      <c r="B21" s="526"/>
      <c r="C21" s="526"/>
      <c r="D21" s="526"/>
      <c r="E21" s="526"/>
      <c r="F21" s="518"/>
    </row>
    <row r="22" spans="1:6" ht="60" customHeight="1">
      <c r="A22" s="518"/>
      <c r="B22" s="576"/>
      <c r="C22" s="576"/>
      <c r="D22" s="576"/>
      <c r="E22" s="576"/>
      <c r="F22" s="518"/>
    </row>
    <row r="23" spans="1:6" ht="46.5" customHeight="1">
      <c r="A23" s="518"/>
      <c r="B23" s="581" t="s">
        <v>223</v>
      </c>
      <c r="C23" s="581"/>
      <c r="D23" s="581"/>
      <c r="E23" s="581"/>
      <c r="F23" s="518"/>
    </row>
    <row r="24" spans="1:6" ht="27" customHeight="1">
      <c r="A24" s="518"/>
      <c r="B24" s="527"/>
      <c r="C24" s="527"/>
      <c r="D24" s="527"/>
      <c r="E24" s="527"/>
      <c r="F24" s="518"/>
    </row>
    <row r="25" spans="1:6" ht="67.5" customHeight="1">
      <c r="A25" s="518"/>
      <c r="B25" s="526"/>
      <c r="C25" s="526"/>
      <c r="D25" s="526"/>
      <c r="E25" s="526"/>
      <c r="F25" s="518"/>
    </row>
    <row r="26" spans="1:6" ht="28.5" customHeight="1">
      <c r="A26" s="520"/>
      <c r="B26" s="581" t="s">
        <v>308</v>
      </c>
      <c r="C26" s="581"/>
      <c r="D26" s="581"/>
      <c r="E26" s="581"/>
      <c r="F26" s="518"/>
    </row>
    <row r="27" spans="1:6" ht="18" customHeight="1">
      <c r="A27" s="520"/>
      <c r="B27" s="580" t="s">
        <v>238</v>
      </c>
      <c r="C27" s="580"/>
      <c r="D27" s="580"/>
      <c r="E27" s="580"/>
      <c r="F27" s="518"/>
    </row>
    <row r="28" spans="1:6" ht="27" customHeight="1">
      <c r="A28" s="518"/>
      <c r="B28" s="526"/>
      <c r="C28" s="526"/>
      <c r="D28" s="526"/>
      <c r="E28" s="526"/>
      <c r="F28" s="518"/>
    </row>
    <row r="29" spans="1:6" ht="57" customHeight="1">
      <c r="A29" s="518"/>
      <c r="B29" s="576"/>
      <c r="C29" s="576"/>
      <c r="D29" s="576"/>
      <c r="E29" s="576"/>
      <c r="F29" s="518"/>
    </row>
    <row r="30" spans="1:6" ht="43.5" customHeight="1">
      <c r="A30" s="518"/>
      <c r="B30" s="581" t="s">
        <v>224</v>
      </c>
      <c r="C30" s="581"/>
      <c r="D30" s="581"/>
      <c r="E30" s="581"/>
      <c r="F30" s="518"/>
    </row>
    <row r="31" spans="1:6" ht="27" customHeight="1">
      <c r="A31" s="518"/>
      <c r="B31" s="526"/>
      <c r="C31" s="526"/>
      <c r="D31" s="526"/>
      <c r="E31" s="526"/>
      <c r="F31" s="518"/>
    </row>
    <row r="32" spans="1:6" ht="77.25" customHeight="1">
      <c r="A32" s="518"/>
      <c r="B32" s="576"/>
      <c r="C32" s="576"/>
      <c r="D32" s="576"/>
      <c r="E32" s="576"/>
      <c r="F32" s="518"/>
    </row>
    <row r="33" spans="1:6" ht="18" customHeight="1">
      <c r="A33" s="518"/>
      <c r="B33" s="581" t="s">
        <v>225</v>
      </c>
      <c r="C33" s="581"/>
      <c r="D33" s="581"/>
      <c r="E33" s="581"/>
      <c r="F33" s="518"/>
    </row>
    <row r="34" spans="1:6" ht="18" customHeight="1">
      <c r="A34" s="518"/>
      <c r="B34" s="580" t="s">
        <v>226</v>
      </c>
      <c r="C34" s="580"/>
      <c r="D34" s="580"/>
      <c r="E34" s="580"/>
      <c r="F34" s="518"/>
    </row>
    <row r="35" spans="1:6" ht="18" customHeight="1">
      <c r="A35" s="518"/>
      <c r="B35" s="580" t="s">
        <v>227</v>
      </c>
      <c r="C35" s="580"/>
      <c r="D35" s="580"/>
      <c r="E35" s="580"/>
      <c r="F35" s="518"/>
    </row>
    <row r="36" spans="1:6" ht="18" customHeight="1">
      <c r="A36" s="518"/>
      <c r="B36" s="580" t="s">
        <v>228</v>
      </c>
      <c r="C36" s="580"/>
      <c r="D36" s="580"/>
      <c r="E36" s="580"/>
      <c r="F36" s="518"/>
    </row>
    <row r="37" spans="1:6" ht="27" customHeight="1">
      <c r="A37" s="518"/>
      <c r="B37" s="528"/>
      <c r="C37" s="528"/>
      <c r="D37" s="528"/>
      <c r="E37" s="528"/>
      <c r="F37" s="518"/>
    </row>
    <row r="38" spans="1:6" ht="63.75" customHeight="1">
      <c r="A38" s="518"/>
      <c r="B38" s="576"/>
      <c r="C38" s="576"/>
      <c r="D38" s="576"/>
      <c r="E38" s="576"/>
      <c r="F38" s="518"/>
    </row>
    <row r="39" spans="1:6" ht="22.5" customHeight="1">
      <c r="A39" s="518"/>
      <c r="B39" s="577" t="s">
        <v>273</v>
      </c>
      <c r="C39" s="577"/>
      <c r="D39" s="578"/>
      <c r="E39" s="529" t="s">
        <v>240</v>
      </c>
      <c r="F39" s="518"/>
    </row>
    <row r="40" spans="1:6" ht="22.5" customHeight="1">
      <c r="A40" s="518"/>
      <c r="B40" s="572" t="s">
        <v>274</v>
      </c>
      <c r="C40" s="572"/>
      <c r="D40" s="573"/>
      <c r="E40" s="530" t="s">
        <v>240</v>
      </c>
      <c r="F40" s="518"/>
    </row>
    <row r="41" spans="1:6" ht="22.5" customHeight="1">
      <c r="A41" s="518"/>
      <c r="B41" s="572" t="s">
        <v>275</v>
      </c>
      <c r="C41" s="572"/>
      <c r="D41" s="573"/>
      <c r="E41" s="530" t="s">
        <v>313</v>
      </c>
      <c r="F41" s="518"/>
    </row>
    <row r="42" spans="1:10" ht="22.5" customHeight="1">
      <c r="A42" s="518"/>
      <c r="B42" s="572" t="s">
        <v>277</v>
      </c>
      <c r="C42" s="572"/>
      <c r="D42" s="573"/>
      <c r="E42" s="530" t="s">
        <v>314</v>
      </c>
      <c r="F42" s="518"/>
      <c r="J42" s="367"/>
    </row>
    <row r="43" spans="1:10" ht="22.5" customHeight="1">
      <c r="A43" s="518"/>
      <c r="B43" s="572" t="s">
        <v>278</v>
      </c>
      <c r="C43" s="572"/>
      <c r="D43" s="573"/>
      <c r="E43" s="530" t="s">
        <v>315</v>
      </c>
      <c r="F43" s="518"/>
      <c r="J43" s="367"/>
    </row>
    <row r="44" spans="1:10" ht="22.5" customHeight="1">
      <c r="A44" s="518"/>
      <c r="B44" s="572" t="s">
        <v>279</v>
      </c>
      <c r="C44" s="572"/>
      <c r="D44" s="573"/>
      <c r="E44" s="530" t="s">
        <v>316</v>
      </c>
      <c r="F44" s="518"/>
      <c r="J44" s="367"/>
    </row>
    <row r="45" spans="1:6" ht="22.5" customHeight="1">
      <c r="A45" s="518"/>
      <c r="B45" s="572" t="s">
        <v>280</v>
      </c>
      <c r="C45" s="572"/>
      <c r="D45" s="573"/>
      <c r="E45" s="530" t="s">
        <v>317</v>
      </c>
      <c r="F45" s="518"/>
    </row>
    <row r="46" spans="1:6" ht="22.5" customHeight="1">
      <c r="A46" s="518"/>
      <c r="B46" s="572" t="s">
        <v>281</v>
      </c>
      <c r="C46" s="572"/>
      <c r="D46" s="573"/>
      <c r="E46" s="530" t="s">
        <v>317</v>
      </c>
      <c r="F46" s="518"/>
    </row>
    <row r="47" spans="1:6" ht="28.5" customHeight="1">
      <c r="A47" s="518"/>
      <c r="B47" s="574" t="s">
        <v>241</v>
      </c>
      <c r="C47" s="574"/>
      <c r="D47" s="574"/>
      <c r="E47" s="574"/>
      <c r="F47" s="518"/>
    </row>
    <row r="48" spans="1:6" ht="14.25">
      <c r="A48" s="518"/>
      <c r="B48" s="579" t="s">
        <v>242</v>
      </c>
      <c r="C48" s="579"/>
      <c r="D48" s="579"/>
      <c r="E48" s="579"/>
      <c r="F48" s="518"/>
    </row>
    <row r="49" spans="1:6" ht="22.5" customHeight="1">
      <c r="A49" s="518"/>
      <c r="B49" s="531"/>
      <c r="C49" s="531"/>
      <c r="D49" s="531"/>
      <c r="E49" s="531"/>
      <c r="F49" s="518"/>
    </row>
    <row r="50" spans="1:6" ht="74.25" customHeight="1">
      <c r="A50" s="518"/>
      <c r="B50" s="576"/>
      <c r="C50" s="576"/>
      <c r="D50" s="576"/>
      <c r="E50" s="576"/>
      <c r="F50" s="518"/>
    </row>
    <row r="51" spans="1:6" ht="22.5" customHeight="1">
      <c r="A51" s="518"/>
      <c r="B51" s="577" t="s">
        <v>273</v>
      </c>
      <c r="C51" s="577"/>
      <c r="D51" s="578"/>
      <c r="E51" s="529" t="s">
        <v>240</v>
      </c>
      <c r="F51" s="518"/>
    </row>
    <row r="52" spans="1:6" ht="22.5" customHeight="1">
      <c r="A52" s="518"/>
      <c r="B52" s="572" t="s">
        <v>274</v>
      </c>
      <c r="C52" s="572"/>
      <c r="D52" s="573"/>
      <c r="E52" s="530" t="s">
        <v>240</v>
      </c>
      <c r="F52" s="518"/>
    </row>
    <row r="53" spans="1:6" ht="22.5" customHeight="1">
      <c r="A53" s="518"/>
      <c r="B53" s="572" t="s">
        <v>275</v>
      </c>
      <c r="C53" s="572"/>
      <c r="D53" s="573"/>
      <c r="E53" s="530" t="s">
        <v>309</v>
      </c>
      <c r="F53" s="518"/>
    </row>
    <row r="54" spans="1:6" ht="22.5" customHeight="1">
      <c r="A54" s="518"/>
      <c r="B54" s="572" t="s">
        <v>277</v>
      </c>
      <c r="C54" s="572"/>
      <c r="D54" s="573"/>
      <c r="E54" s="530" t="s">
        <v>310</v>
      </c>
      <c r="F54" s="518"/>
    </row>
    <row r="55" spans="1:6" ht="22.5" customHeight="1">
      <c r="A55" s="518"/>
      <c r="B55" s="572" t="s">
        <v>278</v>
      </c>
      <c r="C55" s="572"/>
      <c r="D55" s="573"/>
      <c r="E55" s="530" t="s">
        <v>311</v>
      </c>
      <c r="F55" s="518"/>
    </row>
    <row r="56" spans="1:6" ht="22.5" customHeight="1">
      <c r="A56" s="518"/>
      <c r="B56" s="572" t="s">
        <v>279</v>
      </c>
      <c r="C56" s="572"/>
      <c r="D56" s="573"/>
      <c r="E56" s="530" t="s">
        <v>312</v>
      </c>
      <c r="F56" s="518"/>
    </row>
    <row r="57" spans="1:6" ht="22.5" customHeight="1">
      <c r="A57" s="518"/>
      <c r="B57" s="572" t="s">
        <v>280</v>
      </c>
      <c r="C57" s="572"/>
      <c r="D57" s="573"/>
      <c r="E57" s="530" t="s">
        <v>312</v>
      </c>
      <c r="F57" s="518"/>
    </row>
    <row r="58" spans="1:6" ht="22.5" customHeight="1">
      <c r="A58" s="518"/>
      <c r="B58" s="572" t="s">
        <v>281</v>
      </c>
      <c r="C58" s="572"/>
      <c r="D58" s="573"/>
      <c r="E58" s="530" t="s">
        <v>317</v>
      </c>
      <c r="F58" s="518"/>
    </row>
    <row r="59" spans="1:6" ht="14.25">
      <c r="A59" s="518"/>
      <c r="B59" s="532" t="s">
        <v>322</v>
      </c>
      <c r="C59" s="533"/>
      <c r="D59" s="533"/>
      <c r="E59" s="534"/>
      <c r="F59" s="518"/>
    </row>
    <row r="60" spans="1:6" ht="14.25">
      <c r="A60" s="518"/>
      <c r="B60" s="535"/>
      <c r="C60" s="535"/>
      <c r="D60" s="535"/>
      <c r="E60" s="535"/>
      <c r="F60" s="518"/>
    </row>
    <row r="61" spans="1:6" ht="14.25">
      <c r="A61" s="518"/>
      <c r="B61" s="535"/>
      <c r="C61" s="535"/>
      <c r="D61" s="535"/>
      <c r="E61" s="535"/>
      <c r="F61" s="518"/>
    </row>
    <row r="62" spans="1:6" ht="14.25">
      <c r="A62" s="518"/>
      <c r="B62" s="535"/>
      <c r="C62" s="535"/>
      <c r="D62" s="535"/>
      <c r="E62" s="535"/>
      <c r="F62" s="518"/>
    </row>
    <row r="63" spans="1:6" ht="14.25">
      <c r="A63" s="518"/>
      <c r="B63" s="535"/>
      <c r="C63" s="535"/>
      <c r="D63" s="535"/>
      <c r="E63" s="535"/>
      <c r="F63" s="518"/>
    </row>
    <row r="64" spans="1:6" ht="14.25">
      <c r="A64" s="518"/>
      <c r="B64" s="535"/>
      <c r="C64" s="535"/>
      <c r="D64" s="535"/>
      <c r="E64" s="535"/>
      <c r="F64" s="518"/>
    </row>
    <row r="65" spans="1:6" ht="14.25">
      <c r="A65" s="518"/>
      <c r="B65" s="575"/>
      <c r="C65" s="575"/>
      <c r="D65" s="575"/>
      <c r="E65" s="575"/>
      <c r="F65" s="518"/>
    </row>
    <row r="66" spans="1:6" ht="14.25">
      <c r="A66" s="518"/>
      <c r="B66" s="536"/>
      <c r="C66" s="536"/>
      <c r="D66" s="536"/>
      <c r="E66" s="536"/>
      <c r="F66" s="518"/>
    </row>
    <row r="67" spans="1:6" ht="14.25">
      <c r="A67" s="518"/>
      <c r="B67" s="524"/>
      <c r="C67" s="524"/>
      <c r="D67" s="524"/>
      <c r="E67" s="524"/>
      <c r="F67" s="518"/>
    </row>
    <row r="68" spans="1:6" ht="14.25">
      <c r="A68" s="518"/>
      <c r="B68" s="524"/>
      <c r="C68" s="524"/>
      <c r="D68" s="524"/>
      <c r="E68" s="524"/>
      <c r="F68" s="518"/>
    </row>
    <row r="69" spans="2:5" ht="14.25">
      <c r="B69" s="524"/>
      <c r="C69" s="524"/>
      <c r="D69" s="524"/>
      <c r="E69" s="524"/>
    </row>
  </sheetData>
  <sheetProtection password="C7EC" sheet="1" objects="1" scenarios="1"/>
  <mergeCells count="48">
    <mergeCell ref="B7:E7"/>
    <mergeCell ref="B1:E1"/>
    <mergeCell ref="B4:E4"/>
    <mergeCell ref="B5:E5"/>
    <mergeCell ref="B6:E6"/>
    <mergeCell ref="B35:E35"/>
    <mergeCell ref="B16:E16"/>
    <mergeCell ref="B17:E17"/>
    <mergeCell ref="B29:E29"/>
    <mergeCell ref="B30:E30"/>
    <mergeCell ref="B8:E8"/>
    <mergeCell ref="B22:E22"/>
    <mergeCell ref="B23:E23"/>
    <mergeCell ref="B15:E15"/>
    <mergeCell ref="B9:E9"/>
    <mergeCell ref="B11:E11"/>
    <mergeCell ref="B12:E12"/>
    <mergeCell ref="B13:E13"/>
    <mergeCell ref="B44:D44"/>
    <mergeCell ref="B45:D45"/>
    <mergeCell ref="B32:E32"/>
    <mergeCell ref="B33:E33"/>
    <mergeCell ref="B34:E34"/>
    <mergeCell ref="B18:E18"/>
    <mergeCell ref="B26:E26"/>
    <mergeCell ref="B27:E27"/>
    <mergeCell ref="B19:E19"/>
    <mergeCell ref="B20:E20"/>
    <mergeCell ref="B55:D55"/>
    <mergeCell ref="B56:D56"/>
    <mergeCell ref="B48:E48"/>
    <mergeCell ref="B36:E36"/>
    <mergeCell ref="B38:E38"/>
    <mergeCell ref="B39:D39"/>
    <mergeCell ref="B40:D40"/>
    <mergeCell ref="B41:D41"/>
    <mergeCell ref="B42:D42"/>
    <mergeCell ref="B43:D43"/>
    <mergeCell ref="B57:D57"/>
    <mergeCell ref="B58:D58"/>
    <mergeCell ref="B46:D46"/>
    <mergeCell ref="B47:E47"/>
    <mergeCell ref="B65:E65"/>
    <mergeCell ref="B50:E50"/>
    <mergeCell ref="B51:D51"/>
    <mergeCell ref="B52:D52"/>
    <mergeCell ref="B53:D53"/>
    <mergeCell ref="B54:D5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37" r:id="rId2"/>
  <rowBreaks count="2" manualBreakCount="2">
    <brk id="24" max="255" man="1"/>
    <brk id="27" max="4" man="1"/>
  </rowBreaks>
  <colBreaks count="1" manualBreakCount="1">
    <brk id="1" max="49" man="1"/>
  </colBreaks>
  <drawing r:id="rId1"/>
</worksheet>
</file>

<file path=xl/worksheets/sheet5.xml><?xml version="1.0" encoding="utf-8"?>
<worksheet xmlns="http://schemas.openxmlformats.org/spreadsheetml/2006/main" xmlns:r="http://schemas.openxmlformats.org/officeDocument/2006/relationships">
  <sheetPr codeName="Sheet12"/>
  <dimension ref="B2:M29"/>
  <sheetViews>
    <sheetView showGridLines="0" showRowColHeaders="0" zoomScaleSheetLayoutView="100" zoomScalePageLayoutView="0" workbookViewId="0" topLeftCell="A1">
      <pane ySplit="9" topLeftCell="A10" activePane="bottomLeft" state="frozen"/>
      <selection pane="topLeft" activeCell="A1" sqref="A1"/>
      <selection pane="bottomLeft" activeCell="A1" sqref="A1:D1"/>
    </sheetView>
  </sheetViews>
  <sheetFormatPr defaultColWidth="9.00390625" defaultRowHeight="14.25"/>
  <cols>
    <col min="1" max="1" width="6.625" style="387" customWidth="1"/>
    <col min="2" max="2" width="104.375" style="387" customWidth="1"/>
    <col min="3" max="3" width="9.50390625" style="387" customWidth="1"/>
    <col min="4" max="4" width="14.00390625" style="388" customWidth="1"/>
    <col min="5" max="5" width="2.875" style="388" customWidth="1"/>
    <col min="6" max="6" width="14.00390625" style="388" customWidth="1"/>
    <col min="7" max="7" width="3.625" style="388" customWidth="1"/>
    <col min="8" max="8" width="12.375" style="388" customWidth="1"/>
    <col min="9" max="9" width="1.00390625" style="388" customWidth="1"/>
    <col min="10" max="10" width="2.75390625" style="389" customWidth="1"/>
    <col min="11" max="11" width="2.25390625" style="388" customWidth="1"/>
    <col min="12" max="12" width="6.875" style="388" customWidth="1"/>
    <col min="13" max="16384" width="9.00390625" style="387" customWidth="1"/>
  </cols>
  <sheetData>
    <row r="1" ht="5.25" customHeight="1"/>
    <row r="2" ht="6.75" customHeight="1">
      <c r="M2" s="388"/>
    </row>
    <row r="3" ht="12.75" customHeight="1">
      <c r="M3" s="388"/>
    </row>
    <row r="4" ht="12.75" customHeight="1">
      <c r="M4" s="388"/>
    </row>
    <row r="5" ht="12.75" customHeight="1">
      <c r="M5" s="388"/>
    </row>
    <row r="6" spans="3:13" ht="12.75" customHeight="1" thickBot="1">
      <c r="C6" s="394"/>
      <c r="M6" s="388"/>
    </row>
    <row r="7" spans="2:13" ht="5.25" customHeight="1">
      <c r="B7" s="390"/>
      <c r="C7" s="394"/>
      <c r="D7" s="391"/>
      <c r="E7" s="391"/>
      <c r="F7" s="391"/>
      <c r="G7" s="391"/>
      <c r="H7" s="391"/>
      <c r="I7" s="391"/>
      <c r="J7" s="392"/>
      <c r="K7" s="391"/>
      <c r="L7" s="391"/>
      <c r="M7" s="388"/>
    </row>
    <row r="8" spans="2:13" s="398" customFormat="1" ht="20.25">
      <c r="B8" s="393" t="s">
        <v>318</v>
      </c>
      <c r="C8" s="394"/>
      <c r="D8" s="395"/>
      <c r="E8" s="395"/>
      <c r="F8" s="395"/>
      <c r="G8" s="395"/>
      <c r="H8" s="395"/>
      <c r="I8" s="395"/>
      <c r="J8" s="396"/>
      <c r="K8" s="395"/>
      <c r="L8" s="395"/>
      <c r="M8" s="397"/>
    </row>
    <row r="9" spans="2:13" ht="9.75" customHeight="1">
      <c r="B9" s="399"/>
      <c r="C9" s="400"/>
      <c r="D9" s="401"/>
      <c r="E9" s="401"/>
      <c r="F9" s="401"/>
      <c r="G9" s="401"/>
      <c r="H9" s="401"/>
      <c r="I9" s="401"/>
      <c r="J9" s="402"/>
      <c r="K9" s="401"/>
      <c r="L9" s="401"/>
      <c r="M9" s="403"/>
    </row>
    <row r="10" ht="9.75" customHeight="1">
      <c r="B10" s="399"/>
    </row>
    <row r="11" ht="247.5" customHeight="1">
      <c r="B11" s="540" t="s">
        <v>319</v>
      </c>
    </row>
    <row r="12" ht="9.75" customHeight="1">
      <c r="B12" s="537"/>
    </row>
    <row r="27" spans="3:13" ht="14.25">
      <c r="C27" s="404"/>
      <c r="D27" s="405"/>
      <c r="E27" s="405"/>
      <c r="F27" s="405"/>
      <c r="G27" s="405"/>
      <c r="H27" s="405"/>
      <c r="I27" s="405"/>
      <c r="J27" s="406"/>
      <c r="K27" s="405"/>
      <c r="L27" s="405"/>
      <c r="M27" s="407"/>
    </row>
    <row r="29" ht="14.25">
      <c r="B29" s="404"/>
    </row>
  </sheetData>
  <sheetProtection sheet="1" objects="1" selectLockedCells="1" selectUnlockedCells="1"/>
  <printOptions/>
  <pageMargins left="0.7" right="0.7" top="0.75" bottom="0.75" header="0.3" footer="0.3"/>
  <pageSetup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codeName="Sheet9"/>
  <dimension ref="B2:M66"/>
  <sheetViews>
    <sheetView zoomScaleSheetLayoutView="100" zoomScalePageLayoutView="0" workbookViewId="0" topLeftCell="A1">
      <pane ySplit="9" topLeftCell="A10" activePane="bottomLeft" state="frozen"/>
      <selection pane="topLeft" activeCell="A1" sqref="A1"/>
      <selection pane="bottomLeft" activeCell="C39" sqref="C39"/>
    </sheetView>
  </sheetViews>
  <sheetFormatPr defaultColWidth="9.00390625" defaultRowHeight="14.25"/>
  <cols>
    <col min="1" max="1" width="6.625" style="387" customWidth="1"/>
    <col min="2" max="2" width="104.375" style="387" customWidth="1"/>
    <col min="3" max="3" width="9.50390625" style="387" customWidth="1"/>
    <col min="4" max="4" width="14.00390625" style="388" customWidth="1"/>
    <col min="5" max="5" width="2.875" style="388" customWidth="1"/>
    <col min="6" max="6" width="14.00390625" style="388" customWidth="1"/>
    <col min="7" max="7" width="3.625" style="388" customWidth="1"/>
    <col min="8" max="8" width="12.375" style="388" customWidth="1"/>
    <col min="9" max="9" width="1.00390625" style="388" customWidth="1"/>
    <col min="10" max="10" width="2.75390625" style="389" customWidth="1"/>
    <col min="11" max="11" width="2.25390625" style="388" customWidth="1"/>
    <col min="12" max="12" width="6.875" style="388" customWidth="1"/>
    <col min="13" max="16384" width="9.00390625" style="387" customWidth="1"/>
  </cols>
  <sheetData>
    <row r="1" ht="5.25" customHeight="1"/>
    <row r="2" ht="6.75" customHeight="1">
      <c r="M2" s="388"/>
    </row>
    <row r="3" ht="12.75" customHeight="1">
      <c r="M3" s="388"/>
    </row>
    <row r="4" ht="12.75" customHeight="1">
      <c r="M4" s="388"/>
    </row>
    <row r="5" ht="12.75" customHeight="1">
      <c r="M5" s="388"/>
    </row>
    <row r="6" spans="3:13" ht="12.75" customHeight="1" thickBot="1">
      <c r="C6" s="394"/>
      <c r="M6" s="388"/>
    </row>
    <row r="7" spans="2:13" ht="5.25" customHeight="1">
      <c r="B7" s="390"/>
      <c r="C7" s="394"/>
      <c r="D7" s="391"/>
      <c r="E7" s="391"/>
      <c r="F7" s="391"/>
      <c r="G7" s="391"/>
      <c r="H7" s="391"/>
      <c r="I7" s="391"/>
      <c r="J7" s="392"/>
      <c r="K7" s="391"/>
      <c r="L7" s="391"/>
      <c r="M7" s="388"/>
    </row>
    <row r="8" spans="2:13" s="398" customFormat="1" ht="20.25">
      <c r="B8" s="393" t="s">
        <v>235</v>
      </c>
      <c r="C8" s="394"/>
      <c r="D8" s="395"/>
      <c r="E8" s="395"/>
      <c r="F8" s="395"/>
      <c r="G8" s="395"/>
      <c r="H8" s="395"/>
      <c r="I8" s="395"/>
      <c r="J8" s="396"/>
      <c r="K8" s="395"/>
      <c r="L8" s="395"/>
      <c r="M8" s="397"/>
    </row>
    <row r="9" spans="2:13" ht="9.75" customHeight="1">
      <c r="B9" s="399"/>
      <c r="C9" s="400"/>
      <c r="D9" s="401"/>
      <c r="E9" s="401"/>
      <c r="F9" s="401"/>
      <c r="G9" s="401"/>
      <c r="H9" s="401"/>
      <c r="I9" s="401"/>
      <c r="J9" s="402"/>
      <c r="K9" s="401"/>
      <c r="L9" s="401"/>
      <c r="M9" s="403"/>
    </row>
    <row r="10" ht="12" customHeight="1">
      <c r="B10" s="399"/>
    </row>
    <row r="11" ht="9.75" customHeight="1">
      <c r="B11" s="537"/>
    </row>
    <row r="12" ht="14.25">
      <c r="B12" s="537" t="s">
        <v>282</v>
      </c>
    </row>
    <row r="13" ht="14.25">
      <c r="B13" s="537"/>
    </row>
    <row r="14" ht="28.5">
      <c r="B14" s="537" t="s">
        <v>283</v>
      </c>
    </row>
    <row r="15" ht="12" customHeight="1">
      <c r="B15" s="537"/>
    </row>
    <row r="16" ht="3.75" customHeight="1">
      <c r="B16" s="537" t="s">
        <v>284</v>
      </c>
    </row>
    <row r="17" ht="1.5" customHeight="1">
      <c r="B17" s="537"/>
    </row>
    <row r="18" ht="14.25">
      <c r="B18" s="537" t="s">
        <v>285</v>
      </c>
    </row>
    <row r="19" ht="14.25">
      <c r="B19" s="537"/>
    </row>
    <row r="20" ht="14.25">
      <c r="B20" s="537" t="s">
        <v>341</v>
      </c>
    </row>
    <row r="21" ht="14.25">
      <c r="B21" s="537"/>
    </row>
    <row r="22" ht="14.25">
      <c r="B22" s="537" t="s">
        <v>286</v>
      </c>
    </row>
    <row r="23" ht="14.25">
      <c r="B23" s="537"/>
    </row>
    <row r="24" ht="14.25">
      <c r="B24" s="537" t="s">
        <v>297</v>
      </c>
    </row>
    <row r="25" ht="14.25">
      <c r="B25" s="537"/>
    </row>
    <row r="26" ht="28.5">
      <c r="B26" s="537" t="s">
        <v>323</v>
      </c>
    </row>
    <row r="27" ht="14.25">
      <c r="B27" s="537"/>
    </row>
    <row r="28" ht="14.25">
      <c r="B28" s="538" t="s">
        <v>60</v>
      </c>
    </row>
    <row r="29" ht="28.5">
      <c r="B29" s="537" t="s">
        <v>287</v>
      </c>
    </row>
    <row r="30" ht="14.25">
      <c r="B30" s="537"/>
    </row>
    <row r="31" ht="14.25">
      <c r="B31" s="538" t="s">
        <v>298</v>
      </c>
    </row>
    <row r="32" ht="14.25">
      <c r="B32" s="537" t="s">
        <v>288</v>
      </c>
    </row>
    <row r="33" ht="14.25">
      <c r="B33" s="537"/>
    </row>
    <row r="34" ht="14.25">
      <c r="B34" s="537"/>
    </row>
    <row r="35" ht="14.25">
      <c r="B35" s="538" t="s">
        <v>265</v>
      </c>
    </row>
    <row r="36" ht="18" customHeight="1">
      <c r="B36" s="537"/>
    </row>
    <row r="37" ht="15" customHeight="1">
      <c r="B37" s="538" t="s">
        <v>299</v>
      </c>
    </row>
    <row r="38" ht="42.75">
      <c r="B38" s="537" t="s">
        <v>300</v>
      </c>
    </row>
    <row r="39" ht="16.5" customHeight="1">
      <c r="B39" s="537"/>
    </row>
    <row r="40" ht="14.25">
      <c r="B40" s="538" t="s">
        <v>54</v>
      </c>
    </row>
    <row r="41" ht="28.5">
      <c r="B41" s="537" t="s">
        <v>294</v>
      </c>
    </row>
    <row r="42" ht="14.25">
      <c r="B42" s="537"/>
    </row>
    <row r="43" ht="14.25">
      <c r="B43" s="538" t="s">
        <v>94</v>
      </c>
    </row>
    <row r="44" ht="42.75">
      <c r="B44" s="537" t="s">
        <v>301</v>
      </c>
    </row>
    <row r="45" ht="14.25">
      <c r="B45" s="537"/>
    </row>
    <row r="46" ht="14.25">
      <c r="B46" s="538" t="s">
        <v>236</v>
      </c>
    </row>
    <row r="47" ht="42.75">
      <c r="B47" s="537" t="s">
        <v>289</v>
      </c>
    </row>
    <row r="48" ht="15">
      <c r="B48" s="539"/>
    </row>
    <row r="49" ht="15">
      <c r="B49" s="539"/>
    </row>
    <row r="50" ht="14.25"/>
    <row r="51" ht="14.25"/>
    <row r="52" ht="14.25"/>
    <row r="53" ht="14.25"/>
    <row r="54" ht="14.25"/>
    <row r="55" ht="14.25"/>
    <row r="56" ht="14.25"/>
    <row r="57" ht="14.25"/>
    <row r="64" spans="3:13" ht="14.25">
      <c r="C64" s="404"/>
      <c r="D64" s="405"/>
      <c r="E64" s="405"/>
      <c r="F64" s="405"/>
      <c r="G64" s="405"/>
      <c r="H64" s="405"/>
      <c r="I64" s="405"/>
      <c r="J64" s="406"/>
      <c r="K64" s="405"/>
      <c r="L64" s="405"/>
      <c r="M64" s="407"/>
    </row>
    <row r="66" ht="14.25">
      <c r="B66" s="404"/>
    </row>
  </sheetData>
  <sheetProtection password="C7EC" sheet="1" selectLockedCells="1" selectUnlockedCells="1"/>
  <printOptions/>
  <pageMargins left="0.7" right="0.7" top="0.75" bottom="0.75" header="0.3" footer="0.3"/>
  <pageSetup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sheetPr codeName="Sheet4"/>
  <dimension ref="A1:R422"/>
  <sheetViews>
    <sheetView zoomScalePageLayoutView="0" workbookViewId="0" topLeftCell="B1">
      <selection activeCell="K20" sqref="K20"/>
    </sheetView>
  </sheetViews>
  <sheetFormatPr defaultColWidth="9.00390625" defaultRowHeight="14.25"/>
  <cols>
    <col min="4" max="4" width="10.625" style="0" customWidth="1"/>
    <col min="6" max="6" width="10.875" style="0" bestFit="1" customWidth="1"/>
    <col min="7" max="7" width="12.25390625" style="0" customWidth="1"/>
    <col min="8" max="8" width="15.00390625" style="0" customWidth="1"/>
    <col min="9" max="9" width="10.25390625" style="0" customWidth="1"/>
    <col min="10" max="11" width="12.875" style="0" customWidth="1"/>
    <col min="12" max="12" width="49.25390625" style="0" bestFit="1" customWidth="1"/>
  </cols>
  <sheetData>
    <row r="1" spans="1:12" s="1" customFormat="1" ht="26.25">
      <c r="A1" s="645" t="s">
        <v>159</v>
      </c>
      <c r="B1" s="645"/>
      <c r="C1" s="645"/>
      <c r="D1" s="645"/>
      <c r="E1" s="645"/>
      <c r="F1" s="645"/>
      <c r="G1" s="645"/>
      <c r="H1" s="645"/>
      <c r="I1" s="645"/>
      <c r="J1" s="645"/>
      <c r="K1" s="645"/>
      <c r="L1" s="645"/>
    </row>
    <row r="2" spans="1:12" s="1" customFormat="1" ht="26.25">
      <c r="A2" s="645"/>
      <c r="B2" s="645"/>
      <c r="C2" s="645"/>
      <c r="D2" s="645"/>
      <c r="E2" s="645"/>
      <c r="F2" s="645"/>
      <c r="G2" s="645"/>
      <c r="H2" s="645"/>
      <c r="I2" s="645"/>
      <c r="J2" s="645"/>
      <c r="K2" s="645"/>
      <c r="L2" s="645"/>
    </row>
    <row r="3" spans="1:12" s="1" customFormat="1" ht="15">
      <c r="A3" s="646"/>
      <c r="B3" s="646"/>
      <c r="C3" s="646"/>
      <c r="D3" s="646"/>
      <c r="E3" s="646"/>
      <c r="F3" s="646" t="str">
        <f>""&amp;K413&amp;""&amp;", "&amp;K403&amp;""&amp;", "&amp;IF(F71&gt;0,""&amp;F71&amp;" Filhos","Sem filhos")</f>
        <v>, Casado / Unido de Facto, Sem filhos</v>
      </c>
      <c r="G3" s="646"/>
      <c r="H3" s="646"/>
      <c r="I3" s="646"/>
      <c r="J3" s="646"/>
      <c r="K3" s="647"/>
      <c r="L3" s="647"/>
    </row>
    <row r="4" spans="1:18" s="1" customFormat="1" ht="15" thickBot="1">
      <c r="A4" s="13"/>
      <c r="B4" s="13"/>
      <c r="C4" s="13"/>
      <c r="D4" s="13"/>
      <c r="E4" s="13"/>
      <c r="F4" s="13"/>
      <c r="G4" s="13"/>
      <c r="H4" s="13"/>
      <c r="I4" s="13"/>
      <c r="J4" s="13"/>
      <c r="K4" s="268"/>
      <c r="L4" s="268"/>
      <c r="M4" s="2"/>
      <c r="N4" s="2"/>
      <c r="O4" s="2"/>
      <c r="P4" s="2"/>
      <c r="Q4" s="2"/>
      <c r="R4" s="2"/>
    </row>
    <row r="5" spans="2:12" s="1" customFormat="1" ht="15.75" thickBot="1" thickTop="1">
      <c r="B5" s="3"/>
      <c r="C5" s="4"/>
      <c r="D5" s="4"/>
      <c r="E5" s="4"/>
      <c r="F5" s="4"/>
      <c r="G5" s="4"/>
      <c r="H5" s="4"/>
      <c r="I5" s="4"/>
      <c r="J5" s="4"/>
      <c r="K5" s="5"/>
      <c r="L5" s="6"/>
    </row>
    <row r="6" spans="2:12" s="1" customFormat="1" ht="24.75" customHeight="1" thickBot="1">
      <c r="B6" s="7"/>
      <c r="C6" s="8"/>
      <c r="D6" s="8"/>
      <c r="E6" s="8"/>
      <c r="F6" s="8"/>
      <c r="G6" s="8"/>
      <c r="H6" s="8"/>
      <c r="I6" s="8"/>
      <c r="J6" s="9">
        <v>2011</v>
      </c>
      <c r="K6" s="10">
        <v>2012</v>
      </c>
      <c r="L6" s="11"/>
    </row>
    <row r="7" spans="2:12" s="1" customFormat="1" ht="15.75">
      <c r="B7" s="7"/>
      <c r="C7" s="267" t="s">
        <v>9</v>
      </c>
      <c r="D7" s="12"/>
      <c r="E7" s="12"/>
      <c r="F7" s="12"/>
      <c r="G7" s="12"/>
      <c r="H7" s="12"/>
      <c r="I7" s="8"/>
      <c r="J7" s="8"/>
      <c r="K7" s="13"/>
      <c r="L7" s="11"/>
    </row>
    <row r="8" spans="2:12" s="1" customFormat="1" ht="9.75" customHeight="1">
      <c r="B8" s="7"/>
      <c r="C8" s="14"/>
      <c r="D8" s="12"/>
      <c r="E8" s="12"/>
      <c r="F8" s="12"/>
      <c r="G8" s="12"/>
      <c r="H8" s="12"/>
      <c r="I8" s="8"/>
      <c r="J8" s="8"/>
      <c r="K8" s="13"/>
      <c r="L8" s="11"/>
    </row>
    <row r="9" spans="2:12" s="1" customFormat="1" ht="15.75">
      <c r="B9" s="7"/>
      <c r="C9" s="648" t="s">
        <v>10</v>
      </c>
      <c r="D9" s="648"/>
      <c r="E9" s="648"/>
      <c r="F9" s="648"/>
      <c r="G9" s="648"/>
      <c r="H9" s="648"/>
      <c r="I9" s="8"/>
      <c r="J9" s="15">
        <f>SUM(J10:J13)</f>
        <v>0</v>
      </c>
      <c r="K9" s="15">
        <f>SUM(K10:K13)</f>
        <v>0</v>
      </c>
      <c r="L9" s="11"/>
    </row>
    <row r="10" spans="2:12" s="1" customFormat="1" ht="15.75">
      <c r="B10" s="7"/>
      <c r="C10" s="642" t="s">
        <v>24</v>
      </c>
      <c r="D10" s="642"/>
      <c r="E10" s="642"/>
      <c r="F10" s="642"/>
      <c r="G10" s="642"/>
      <c r="H10" s="642"/>
      <c r="I10" s="8"/>
      <c r="J10" s="16">
        <f>$J$132</f>
        <v>0</v>
      </c>
      <c r="K10" s="16">
        <f>K132</f>
        <v>0</v>
      </c>
      <c r="L10" s="11"/>
    </row>
    <row r="11" spans="2:12" s="1" customFormat="1" ht="15.75">
      <c r="B11" s="7"/>
      <c r="C11" s="642" t="s">
        <v>25</v>
      </c>
      <c r="D11" s="642"/>
      <c r="E11" s="642"/>
      <c r="F11" s="642"/>
      <c r="G11" s="642"/>
      <c r="H11" s="642"/>
      <c r="I11" s="8"/>
      <c r="J11" s="16">
        <f>$J$159</f>
        <v>0</v>
      </c>
      <c r="K11" s="16">
        <f>K159</f>
        <v>0</v>
      </c>
      <c r="L11" s="11"/>
    </row>
    <row r="12" spans="2:12" s="1" customFormat="1" ht="15.75">
      <c r="B12" s="7"/>
      <c r="C12" s="642" t="s">
        <v>78</v>
      </c>
      <c r="D12" s="642"/>
      <c r="E12" s="642"/>
      <c r="F12" s="642"/>
      <c r="G12" s="642"/>
      <c r="H12" s="642"/>
      <c r="I12" s="8"/>
      <c r="J12" s="16">
        <f>$J$164</f>
        <v>0</v>
      </c>
      <c r="K12" s="16">
        <f>K164</f>
        <v>0</v>
      </c>
      <c r="L12" s="11"/>
    </row>
    <row r="13" spans="2:12" s="1" customFormat="1" ht="15.75">
      <c r="B13" s="7"/>
      <c r="C13" s="642" t="s">
        <v>8</v>
      </c>
      <c r="D13" s="642"/>
      <c r="E13" s="642"/>
      <c r="F13" s="642"/>
      <c r="G13" s="642"/>
      <c r="H13" s="642"/>
      <c r="I13" s="8"/>
      <c r="J13" s="16">
        <f>$J$176</f>
        <v>0</v>
      </c>
      <c r="K13" s="16">
        <f>K176</f>
        <v>0</v>
      </c>
      <c r="L13" s="11"/>
    </row>
    <row r="14" spans="2:12" s="1" customFormat="1" ht="15.75">
      <c r="B14" s="7"/>
      <c r="C14" s="267" t="s">
        <v>11</v>
      </c>
      <c r="D14" s="267"/>
      <c r="E14" s="267"/>
      <c r="F14" s="267"/>
      <c r="G14" s="19"/>
      <c r="H14" s="267"/>
      <c r="I14" s="8"/>
      <c r="J14" s="16">
        <f>SUM(J15:J18)</f>
        <v>0</v>
      </c>
      <c r="K14" s="16">
        <f>SUM(K15:K18)</f>
        <v>0</v>
      </c>
      <c r="L14" s="11"/>
    </row>
    <row r="15" spans="2:12" s="1" customFormat="1" ht="15.75">
      <c r="B15" s="7"/>
      <c r="C15" s="642" t="s">
        <v>95</v>
      </c>
      <c r="D15" s="642"/>
      <c r="E15" s="642"/>
      <c r="F15" s="642"/>
      <c r="G15" s="642"/>
      <c r="H15" s="642"/>
      <c r="I15" s="8"/>
      <c r="J15" s="16">
        <f>-J134</f>
        <v>0</v>
      </c>
      <c r="K15" s="16">
        <f>-K134</f>
        <v>0</v>
      </c>
      <c r="L15" s="11"/>
    </row>
    <row r="16" spans="2:12" s="1" customFormat="1" ht="15.75">
      <c r="B16" s="7"/>
      <c r="C16" s="266" t="s">
        <v>96</v>
      </c>
      <c r="D16" s="266"/>
      <c r="E16" s="266"/>
      <c r="F16" s="266"/>
      <c r="G16" s="17"/>
      <c r="H16" s="266"/>
      <c r="I16" s="8"/>
      <c r="J16" s="18" t="s">
        <v>72</v>
      </c>
      <c r="K16" s="18" t="s">
        <v>72</v>
      </c>
      <c r="L16" s="11"/>
    </row>
    <row r="17" spans="2:12" s="1" customFormat="1" ht="15.75">
      <c r="B17" s="7"/>
      <c r="C17" s="642" t="s">
        <v>97</v>
      </c>
      <c r="D17" s="642"/>
      <c r="E17" s="642"/>
      <c r="F17" s="642"/>
      <c r="G17" s="642"/>
      <c r="H17" s="642"/>
      <c r="I17" s="8"/>
      <c r="J17" s="18">
        <f>-IF(J165&gt;J12,J12,J165)</f>
        <v>0</v>
      </c>
      <c r="K17" s="16">
        <f>-IF(K165&gt;K12,K12,K165)</f>
        <v>0</v>
      </c>
      <c r="L17" s="11"/>
    </row>
    <row r="18" spans="2:12" s="1" customFormat="1" ht="15.75">
      <c r="B18" s="7"/>
      <c r="C18" s="266" t="s">
        <v>98</v>
      </c>
      <c r="D18" s="266"/>
      <c r="E18" s="266"/>
      <c r="F18" s="266"/>
      <c r="G18" s="19"/>
      <c r="H18" s="266"/>
      <c r="I18" s="8"/>
      <c r="J18" s="16">
        <f>-$J$178</f>
        <v>0</v>
      </c>
      <c r="K18" s="16">
        <f>-K178</f>
        <v>0</v>
      </c>
      <c r="L18" s="11"/>
    </row>
    <row r="19" spans="2:12" s="1" customFormat="1" ht="15.75">
      <c r="B19" s="7"/>
      <c r="C19" s="20"/>
      <c r="D19" s="8"/>
      <c r="E19" s="8"/>
      <c r="F19" s="8"/>
      <c r="G19" s="8"/>
      <c r="H19" s="8"/>
      <c r="I19" s="8"/>
      <c r="J19" s="16"/>
      <c r="K19" s="21"/>
      <c r="L19" s="11"/>
    </row>
    <row r="20" spans="2:12" s="1" customFormat="1" ht="15.75">
      <c r="B20" s="7"/>
      <c r="C20" s="20" t="s">
        <v>12</v>
      </c>
      <c r="D20" s="8"/>
      <c r="E20" s="8"/>
      <c r="F20" s="8"/>
      <c r="G20" s="8"/>
      <c r="H20" s="8"/>
      <c r="I20" s="8"/>
      <c r="J20" s="16">
        <f>IF($J$9+$J$15+$J$17+$J$18&lt;0,0,$J$9+$J$15+$J$17+$J$18)</f>
        <v>0</v>
      </c>
      <c r="K20" s="16">
        <f>IF(K9+K15+K17+K18&lt;0,0,K9+K15+K17+K18)</f>
        <v>0</v>
      </c>
      <c r="L20" s="11"/>
    </row>
    <row r="21" spans="2:12" s="1" customFormat="1" ht="14.25">
      <c r="B21" s="7"/>
      <c r="C21" s="8"/>
      <c r="D21" s="8"/>
      <c r="E21" s="8"/>
      <c r="F21" s="8"/>
      <c r="G21" s="8"/>
      <c r="H21" s="8"/>
      <c r="I21" s="8"/>
      <c r="J21" s="16"/>
      <c r="K21" s="16"/>
      <c r="L21" s="11"/>
    </row>
    <row r="22" spans="2:12" s="1" customFormat="1" ht="15.75">
      <c r="B22" s="7"/>
      <c r="C22" s="20" t="s">
        <v>13</v>
      </c>
      <c r="D22" s="8"/>
      <c r="E22" s="8"/>
      <c r="F22" s="8"/>
      <c r="G22" s="8"/>
      <c r="H22" s="8"/>
      <c r="I22" s="8"/>
      <c r="J22" s="16"/>
      <c r="K22" s="16"/>
      <c r="L22" s="11"/>
    </row>
    <row r="23" spans="2:12" s="1" customFormat="1" ht="15">
      <c r="B23" s="7"/>
      <c r="C23" s="22"/>
      <c r="D23" s="8"/>
      <c r="E23" s="8"/>
      <c r="F23" s="8"/>
      <c r="G23" s="8"/>
      <c r="H23" s="8"/>
      <c r="I23" s="8"/>
      <c r="J23" s="16"/>
      <c r="K23" s="16"/>
      <c r="L23" s="11"/>
    </row>
    <row r="24" spans="2:12" s="1" customFormat="1" ht="15.75">
      <c r="B24" s="7"/>
      <c r="C24" s="20" t="s">
        <v>14</v>
      </c>
      <c r="D24" s="8"/>
      <c r="E24" s="8"/>
      <c r="F24" s="8"/>
      <c r="G24" s="8"/>
      <c r="H24" s="8"/>
      <c r="I24" s="8"/>
      <c r="J24" s="16">
        <f>IF($F$68=1,$J$20/2,$J$20)</f>
        <v>0</v>
      </c>
      <c r="K24" s="16">
        <f>IF($F$68=1,$K$20/2,$K$20)</f>
        <v>0</v>
      </c>
      <c r="L24" s="11"/>
    </row>
    <row r="25" spans="2:12" s="1" customFormat="1" ht="15.75">
      <c r="B25" s="7"/>
      <c r="C25" s="20"/>
      <c r="D25" s="8"/>
      <c r="E25" s="8"/>
      <c r="F25" s="8"/>
      <c r="G25" s="8"/>
      <c r="H25" s="8"/>
      <c r="I25" s="8"/>
      <c r="J25" s="16"/>
      <c r="K25" s="21"/>
      <c r="L25" s="11"/>
    </row>
    <row r="26" spans="2:12" s="1" customFormat="1" ht="15.75">
      <c r="B26" s="7"/>
      <c r="C26" s="20" t="s">
        <v>15</v>
      </c>
      <c r="D26" s="8"/>
      <c r="E26" s="8"/>
      <c r="F26" s="8"/>
      <c r="G26" s="8"/>
      <c r="H26" s="8"/>
      <c r="I26" s="8"/>
      <c r="J26" s="23">
        <f>_xlfn.IFERROR(IF(F73=1,VLOOKUP($J$24,$C$83:$F$90,3,TRUE),IF(F73=0,VLOOKUP($J$24,$C$95:$F$102,3,TRUE),VLOOKUP($J$24,$C$107:$F$114,3,TRUE))),0)</f>
        <v>0</v>
      </c>
      <c r="K26" s="23">
        <f>_xlfn.IFERROR(IF(F73=1,VLOOKUP($K$24,$H$83:$K$90,3,TRUE),IF(F73=0,VLOOKUP($K$24,$H$95:$K$102,3,TRUE),VLOOKUP($K$24,$H$107:$K$114,3,TRUE))),0)</f>
        <v>0</v>
      </c>
      <c r="L26" s="11"/>
    </row>
    <row r="27" spans="2:12" s="1" customFormat="1" ht="15.75">
      <c r="B27" s="7"/>
      <c r="C27" s="24" t="str">
        <f>"     TAXA DE "&amp;$J$26*100&amp;"%"</f>
        <v>     TAXA DE 0%</v>
      </c>
      <c r="D27" s="8"/>
      <c r="E27" s="8"/>
      <c r="F27" s="8"/>
      <c r="G27" s="8"/>
      <c r="H27" s="8"/>
      <c r="I27" s="8"/>
      <c r="J27" s="16">
        <f>ROUND($J$26*$J$24,2)</f>
        <v>0</v>
      </c>
      <c r="K27" s="16">
        <f>ROUND($K$26*$K$24,2)</f>
        <v>0</v>
      </c>
      <c r="L27" s="11"/>
    </row>
    <row r="28" spans="2:12" s="1" customFormat="1" ht="15.75">
      <c r="B28" s="7"/>
      <c r="C28" s="20" t="s">
        <v>16</v>
      </c>
      <c r="D28" s="8"/>
      <c r="E28" s="8"/>
      <c r="F28" s="8"/>
      <c r="G28" s="8"/>
      <c r="H28" s="8"/>
      <c r="I28" s="8"/>
      <c r="J28" s="16">
        <f>_xlfn.IFERROR(-IF(F73=1,VLOOKUP($J$24,$C$83:$F$90,4,TRUE),IF(F73=0,VLOOKUP($J$24,$C$95:$F$102,4,TRUE),VLOOKUP($J$24,$C$107:$F$114,4,TRUE))),0)</f>
        <v>0</v>
      </c>
      <c r="K28" s="16">
        <f>_xlfn.IFERROR(-IF(F73=1,VLOOKUP($K$24,$H$83:$K$90,4,TRUE),IF(F73=0,VLOOKUP($K$24,$H$95:$K$102,4,TRUE),VLOOKUP($K$24,$H$107:$K$114,4,TRUE))),0)</f>
        <v>0</v>
      </c>
      <c r="L28" s="11"/>
    </row>
    <row r="29" spans="2:12" s="1" customFormat="1" ht="15.75">
      <c r="B29" s="7"/>
      <c r="C29" s="20"/>
      <c r="D29" s="8"/>
      <c r="E29" s="8"/>
      <c r="F29" s="8"/>
      <c r="G29" s="8"/>
      <c r="H29" s="8"/>
      <c r="I29" s="8"/>
      <c r="J29" s="16"/>
      <c r="K29" s="21"/>
      <c r="L29" s="11"/>
    </row>
    <row r="30" spans="2:12" s="1" customFormat="1" ht="15.75">
      <c r="B30" s="7"/>
      <c r="C30" s="20" t="s">
        <v>17</v>
      </c>
      <c r="D30" s="8"/>
      <c r="E30" s="8"/>
      <c r="F30" s="8"/>
      <c r="G30" s="8"/>
      <c r="H30" s="8"/>
      <c r="I30" s="8"/>
      <c r="J30" s="16">
        <f>SUM(J27:J28)</f>
        <v>0</v>
      </c>
      <c r="K30" s="16">
        <f>SUM(K27:K28)</f>
        <v>0</v>
      </c>
      <c r="L30" s="11"/>
    </row>
    <row r="31" spans="2:12" s="1" customFormat="1" ht="15.75">
      <c r="B31" s="7"/>
      <c r="C31" s="20"/>
      <c r="D31" s="8"/>
      <c r="E31" s="8"/>
      <c r="F31" s="8"/>
      <c r="G31" s="8"/>
      <c r="H31" s="8"/>
      <c r="I31" s="8"/>
      <c r="J31" s="16"/>
      <c r="K31" s="21"/>
      <c r="L31" s="11"/>
    </row>
    <row r="32" spans="2:12" s="1" customFormat="1" ht="15.75">
      <c r="B32" s="7"/>
      <c r="C32" s="25" t="s">
        <v>91</v>
      </c>
      <c r="D32" s="8"/>
      <c r="E32" s="8"/>
      <c r="F32" s="8"/>
      <c r="G32" s="8"/>
      <c r="H32" s="8"/>
      <c r="I32" s="8"/>
      <c r="J32" s="16">
        <f>IF($F$68=1,$J$30*2,$J$30)</f>
        <v>0</v>
      </c>
      <c r="K32" s="16">
        <f>IF($F$68=1,$K$30*2,$K$30)</f>
        <v>0</v>
      </c>
      <c r="L32" s="11"/>
    </row>
    <row r="33" spans="2:12" s="1" customFormat="1" ht="15.75">
      <c r="B33" s="7"/>
      <c r="C33" s="20"/>
      <c r="D33" s="8"/>
      <c r="E33" s="8"/>
      <c r="F33" s="8"/>
      <c r="G33" s="8"/>
      <c r="H33" s="8"/>
      <c r="I33" s="8"/>
      <c r="J33" s="16"/>
      <c r="K33" s="16"/>
      <c r="L33" s="11"/>
    </row>
    <row r="34" spans="2:12" s="1" customFormat="1" ht="15.75">
      <c r="B34" s="7"/>
      <c r="C34" s="20" t="s">
        <v>62</v>
      </c>
      <c r="D34" s="8"/>
      <c r="E34" s="8"/>
      <c r="F34" s="8"/>
      <c r="G34" s="8"/>
      <c r="H34" s="8"/>
      <c r="I34" s="8"/>
      <c r="J34" s="16"/>
      <c r="K34" s="16"/>
      <c r="L34" s="11"/>
    </row>
    <row r="35" spans="2:12" s="1" customFormat="1" ht="39.75" customHeight="1">
      <c r="B35" s="7"/>
      <c r="C35" s="637" t="s">
        <v>145</v>
      </c>
      <c r="D35" s="637"/>
      <c r="E35" s="637"/>
      <c r="F35" s="637"/>
      <c r="G35" s="637"/>
      <c r="H35" s="26"/>
      <c r="I35" s="26"/>
      <c r="J35" s="27">
        <f>-F193</f>
        <v>-522.5</v>
      </c>
      <c r="K35" s="27">
        <f>-G193</f>
        <v>-522.5</v>
      </c>
      <c r="L35" s="11"/>
    </row>
    <row r="36" spans="2:12" s="1" customFormat="1" ht="15" customHeight="1">
      <c r="B36" s="7"/>
      <c r="C36" s="20" t="s">
        <v>32</v>
      </c>
      <c r="D36" s="8"/>
      <c r="E36" s="8"/>
      <c r="F36" s="8"/>
      <c r="G36" s="8"/>
      <c r="H36" s="8"/>
      <c r="I36" s="8"/>
      <c r="J36" s="16">
        <f>-J208</f>
        <v>0</v>
      </c>
      <c r="K36" s="16">
        <f>-K208</f>
        <v>0</v>
      </c>
      <c r="L36" s="11"/>
    </row>
    <row r="37" spans="2:12" s="1" customFormat="1" ht="15.75">
      <c r="B37" s="7"/>
      <c r="C37" s="20" t="s">
        <v>33</v>
      </c>
      <c r="D37" s="8"/>
      <c r="E37" s="8"/>
      <c r="F37" s="8"/>
      <c r="G37" s="8"/>
      <c r="H37" s="8"/>
      <c r="I37" s="8"/>
      <c r="J37" s="16">
        <f>-$J$217</f>
        <v>0</v>
      </c>
      <c r="K37" s="16">
        <f>-K217</f>
        <v>0</v>
      </c>
      <c r="L37" s="11"/>
    </row>
    <row r="38" spans="1:12" s="1" customFormat="1" ht="15.75">
      <c r="A38" s="28"/>
      <c r="B38" s="8"/>
      <c r="C38" s="20" t="s">
        <v>264</v>
      </c>
      <c r="D38" s="8"/>
      <c r="E38" s="8"/>
      <c r="F38" s="8"/>
      <c r="G38" s="8"/>
      <c r="H38" s="8"/>
      <c r="I38" s="8"/>
      <c r="J38" s="16">
        <f>-J257</f>
        <v>0</v>
      </c>
      <c r="K38" s="16">
        <f>-K257</f>
        <v>0</v>
      </c>
      <c r="L38" s="11"/>
    </row>
    <row r="39" spans="1:12" s="1" customFormat="1" ht="15.75" hidden="1">
      <c r="A39" s="28"/>
      <c r="B39" s="8"/>
      <c r="C39" s="20" t="s">
        <v>256</v>
      </c>
      <c r="D39" s="8"/>
      <c r="E39" s="8"/>
      <c r="F39" s="8"/>
      <c r="G39" s="8"/>
      <c r="H39" s="8"/>
      <c r="I39" s="8"/>
      <c r="J39" s="16"/>
      <c r="K39" s="16"/>
      <c r="L39" s="11"/>
    </row>
    <row r="40" spans="1:12" s="1" customFormat="1" ht="15.75">
      <c r="A40" s="28"/>
      <c r="B40" s="373" t="s">
        <v>254</v>
      </c>
      <c r="C40" s="20" t="s">
        <v>134</v>
      </c>
      <c r="D40" s="8"/>
      <c r="E40" s="8"/>
      <c r="F40" s="8"/>
      <c r="G40" s="8"/>
      <c r="H40" s="8"/>
      <c r="I40" s="8"/>
      <c r="J40" s="16">
        <f>-J267</f>
        <v>0</v>
      </c>
      <c r="K40" s="16">
        <f>-K267</f>
        <v>0</v>
      </c>
      <c r="L40" s="11"/>
    </row>
    <row r="41" spans="1:12" s="1" customFormat="1" ht="15.75">
      <c r="A41" s="28"/>
      <c r="B41" s="8"/>
      <c r="C41" s="20" t="s">
        <v>164</v>
      </c>
      <c r="D41" s="8"/>
      <c r="E41" s="8"/>
      <c r="F41" s="8"/>
      <c r="G41" s="8"/>
      <c r="H41" s="8"/>
      <c r="I41" s="8"/>
      <c r="J41" s="16">
        <f>-J278</f>
        <v>0</v>
      </c>
      <c r="K41" s="16">
        <f>-K278</f>
        <v>0</v>
      </c>
      <c r="L41" s="11"/>
    </row>
    <row r="42" spans="1:12" s="1" customFormat="1" ht="34.5" customHeight="1">
      <c r="A42" s="28"/>
      <c r="B42" s="8"/>
      <c r="C42" s="643" t="str">
        <f>E289</f>
        <v>SOMA DAS DEDUÇÕES (saúde+educação+C.Hab+pensões de alimentos)</v>
      </c>
      <c r="D42" s="644"/>
      <c r="E42" s="644"/>
      <c r="F42" s="644"/>
      <c r="G42" s="644"/>
      <c r="H42" s="644"/>
      <c r="I42" s="644"/>
      <c r="J42" s="16">
        <f>-J289</f>
        <v>0</v>
      </c>
      <c r="K42" s="16">
        <f>-K289</f>
        <v>0</v>
      </c>
      <c r="L42" s="11"/>
    </row>
    <row r="43" spans="1:12" s="1" customFormat="1" ht="15.75" customHeight="1">
      <c r="A43" s="28"/>
      <c r="B43" s="8"/>
      <c r="C43" s="20"/>
      <c r="D43" s="8"/>
      <c r="E43" s="8"/>
      <c r="F43" s="8"/>
      <c r="G43" s="8"/>
      <c r="H43" s="8"/>
      <c r="I43" s="8"/>
      <c r="J43" s="16"/>
      <c r="K43" s="16"/>
      <c r="L43" s="11"/>
    </row>
    <row r="44" spans="1:12" s="1" customFormat="1" ht="15.75">
      <c r="A44" s="28"/>
      <c r="B44" s="20"/>
      <c r="C44" s="637" t="s">
        <v>163</v>
      </c>
      <c r="D44" s="637"/>
      <c r="E44" s="637"/>
      <c r="F44" s="637"/>
      <c r="G44" s="637"/>
      <c r="H44" s="8"/>
      <c r="I44" s="8"/>
      <c r="J44" s="16"/>
      <c r="K44" s="21"/>
      <c r="L44" s="11"/>
    </row>
    <row r="45" spans="1:12" s="1" customFormat="1" ht="15.75">
      <c r="A45" s="28"/>
      <c r="B45" s="8"/>
      <c r="C45" s="20" t="s">
        <v>57</v>
      </c>
      <c r="D45" s="8"/>
      <c r="E45" s="8"/>
      <c r="F45" s="8"/>
      <c r="G45" s="8"/>
      <c r="H45" s="8"/>
      <c r="I45" s="8"/>
      <c r="J45" s="16">
        <f>-J318</f>
        <v>0</v>
      </c>
      <c r="K45" s="16">
        <f>-$K$318</f>
        <v>0</v>
      </c>
      <c r="L45" s="11"/>
    </row>
    <row r="46" spans="1:12" s="1" customFormat="1" ht="15.75">
      <c r="A46" s="28"/>
      <c r="B46" s="8"/>
      <c r="C46" s="20" t="s">
        <v>73</v>
      </c>
      <c r="D46" s="8"/>
      <c r="E46" s="8"/>
      <c r="F46" s="8"/>
      <c r="G46" s="8"/>
      <c r="H46" s="8"/>
      <c r="I46" s="8"/>
      <c r="J46" s="16">
        <f>_xlfn.IFERROR(-$J$337,0)</f>
        <v>0</v>
      </c>
      <c r="K46" s="16">
        <f>_xlfn.IFERROR(-K337,0)</f>
        <v>0</v>
      </c>
      <c r="L46" s="11"/>
    </row>
    <row r="47" spans="1:12" s="1" customFormat="1" ht="15.75" hidden="1">
      <c r="A47" s="29"/>
      <c r="B47" s="8"/>
      <c r="C47" s="20" t="s">
        <v>165</v>
      </c>
      <c r="D47" s="8"/>
      <c r="E47" s="8"/>
      <c r="F47" s="8"/>
      <c r="G47" s="8"/>
      <c r="H47" s="8"/>
      <c r="I47" s="8"/>
      <c r="J47" s="16">
        <f>-J354</f>
        <v>0</v>
      </c>
      <c r="K47" s="16">
        <f>-K354</f>
        <v>0</v>
      </c>
      <c r="L47" s="11"/>
    </row>
    <row r="48" spans="2:12" s="1" customFormat="1" ht="16.5" customHeight="1">
      <c r="B48" s="7"/>
      <c r="C48" s="20" t="s">
        <v>144</v>
      </c>
      <c r="D48" s="8"/>
      <c r="E48" s="8"/>
      <c r="F48" s="8"/>
      <c r="G48" s="8"/>
      <c r="H48" s="8"/>
      <c r="I48" s="8"/>
      <c r="J48" s="16">
        <f>-J363</f>
        <v>0</v>
      </c>
      <c r="K48" s="16">
        <f>-K363</f>
        <v>0</v>
      </c>
      <c r="L48" s="11"/>
    </row>
    <row r="49" spans="2:12" s="1" customFormat="1" ht="15.75">
      <c r="B49" s="7"/>
      <c r="C49" s="638" t="str">
        <f>F370</f>
        <v>Soma das deduções ou limite</v>
      </c>
      <c r="D49" s="638"/>
      <c r="E49" s="638"/>
      <c r="F49" s="638"/>
      <c r="G49" s="638"/>
      <c r="H49" s="638"/>
      <c r="I49" s="638"/>
      <c r="J49" s="16">
        <f>_xlfn.IFERROR(-$J$370,0)</f>
        <v>0</v>
      </c>
      <c r="K49" s="16">
        <f>_xlfn.IFERROR(-K370,0)</f>
        <v>0</v>
      </c>
      <c r="L49" s="11"/>
    </row>
    <row r="50" spans="2:12" s="1" customFormat="1" ht="15.75">
      <c r="B50" s="7"/>
      <c r="C50" s="20"/>
      <c r="D50" s="8"/>
      <c r="E50" s="8"/>
      <c r="F50" s="8"/>
      <c r="G50" s="8"/>
      <c r="H50" s="8"/>
      <c r="I50" s="8"/>
      <c r="J50" s="16"/>
      <c r="K50" s="21"/>
      <c r="L50" s="11"/>
    </row>
    <row r="51" spans="2:12" s="1" customFormat="1" ht="15.75">
      <c r="B51" s="7"/>
      <c r="C51" s="20" t="s">
        <v>18</v>
      </c>
      <c r="D51" s="8"/>
      <c r="E51" s="8"/>
      <c r="F51" s="8"/>
      <c r="G51" s="8"/>
      <c r="H51" s="8"/>
      <c r="I51" s="8"/>
      <c r="J51" s="16">
        <f>IF($J$32+$J$42+$J$49+$J$35&gt;0,$J$32+$J$35+$J$42+$J$49,0)</f>
        <v>0</v>
      </c>
      <c r="K51" s="16">
        <f>IF(K32+K42+K49+K35&gt;0,K32+K35+K42+K49,0)</f>
        <v>0</v>
      </c>
      <c r="L51" s="11"/>
    </row>
    <row r="52" spans="2:12" s="1" customFormat="1" ht="15.75">
      <c r="B52" s="7"/>
      <c r="C52" s="20"/>
      <c r="D52" s="8"/>
      <c r="E52" s="8"/>
      <c r="F52" s="8"/>
      <c r="G52" s="8"/>
      <c r="H52" s="8"/>
      <c r="I52" s="8"/>
      <c r="J52" s="16"/>
      <c r="K52" s="21"/>
      <c r="L52" s="11"/>
    </row>
    <row r="53" spans="2:12" s="1" customFormat="1" ht="15.75">
      <c r="B53" s="7"/>
      <c r="C53" s="20" t="s">
        <v>76</v>
      </c>
      <c r="D53" s="8"/>
      <c r="E53" s="8"/>
      <c r="F53" s="8"/>
      <c r="G53" s="8"/>
      <c r="H53" s="8"/>
      <c r="I53" s="8"/>
      <c r="J53" s="30">
        <f>-'Simular IRS 2012'!I32-'Simular IRS 2012'!L32-'Simular IRS 2012'!I43-'Simular IRS 2012'!L43-'Simular IRS 2012'!I51-'Simular IRS 2012'!L51-'Simular IRS 2012'!I57-'Simular IRS 2012'!L57</f>
        <v>0</v>
      </c>
      <c r="K53" s="30">
        <f>-'Simular IRS 2012'!I32-'Simular IRS 2012'!L32-'Simular IRS 2012'!I43-'Simular IRS 2012'!L43-'Simular IRS 2012'!I51-'Simular IRS 2012'!L51-'Simular IRS 2012'!I57-'Simular IRS 2012'!L57</f>
        <v>0</v>
      </c>
      <c r="L53" s="11"/>
    </row>
    <row r="54" spans="2:12" s="1" customFormat="1" ht="15.75">
      <c r="B54" s="7"/>
      <c r="C54" s="20"/>
      <c r="D54" s="8"/>
      <c r="E54" s="8"/>
      <c r="F54" s="8"/>
      <c r="G54" s="8"/>
      <c r="H54" s="8"/>
      <c r="I54" s="8"/>
      <c r="J54" s="30"/>
      <c r="K54" s="21"/>
      <c r="L54" s="11"/>
    </row>
    <row r="55" spans="2:12" s="1" customFormat="1" ht="15.75">
      <c r="B55" s="7"/>
      <c r="C55" s="20" t="s">
        <v>126</v>
      </c>
      <c r="D55" s="8"/>
      <c r="E55" s="8"/>
      <c r="F55" s="8"/>
      <c r="G55" s="8"/>
      <c r="H55" s="8"/>
      <c r="I55" s="8"/>
      <c r="J55" s="30">
        <f>H392</f>
        <v>0</v>
      </c>
      <c r="K55" s="31" t="s">
        <v>72</v>
      </c>
      <c r="L55" s="11"/>
    </row>
    <row r="56" spans="2:12" s="1" customFormat="1" ht="15.75">
      <c r="B56" s="7"/>
      <c r="C56" s="20"/>
      <c r="D56" s="8"/>
      <c r="E56" s="8"/>
      <c r="F56" s="8"/>
      <c r="G56" s="8"/>
      <c r="H56" s="8"/>
      <c r="I56" s="8"/>
      <c r="J56" s="30"/>
      <c r="K56" s="21"/>
      <c r="L56" s="11"/>
    </row>
    <row r="57" spans="2:12" s="1" customFormat="1" ht="15.75">
      <c r="B57" s="7"/>
      <c r="C57" s="20" t="s">
        <v>127</v>
      </c>
      <c r="D57" s="8"/>
      <c r="E57" s="8"/>
      <c r="F57" s="8"/>
      <c r="G57" s="8"/>
      <c r="H57" s="8"/>
      <c r="I57" s="8"/>
      <c r="J57" s="31" t="s">
        <v>72</v>
      </c>
      <c r="K57" s="16">
        <f>IF(K24&gt;I89,IF(F68=1,(K24-I89)*0.025*2,(K24-I89)*0.025),0)</f>
        <v>0</v>
      </c>
      <c r="L57" s="11"/>
    </row>
    <row r="58" spans="2:12" s="1" customFormat="1" ht="15.75">
      <c r="B58" s="7"/>
      <c r="C58" s="20"/>
      <c r="D58" s="32"/>
      <c r="E58" s="32"/>
      <c r="F58" s="8"/>
      <c r="G58" s="8"/>
      <c r="H58" s="8"/>
      <c r="I58" s="8"/>
      <c r="J58" s="30"/>
      <c r="K58" s="16"/>
      <c r="L58" s="11"/>
    </row>
    <row r="59" spans="2:12" s="1" customFormat="1" ht="15.75">
      <c r="B59" s="7"/>
      <c r="C59" s="33" t="s">
        <v>84</v>
      </c>
      <c r="D59" s="34"/>
      <c r="E59" s="639" t="str">
        <f>IF(J59&gt;0,"IMPOSTO A PAGAR","REEMBOLSO DE IRS")</f>
        <v>REEMBOLSO DE IRS</v>
      </c>
      <c r="F59" s="639"/>
      <c r="G59" s="8"/>
      <c r="H59" s="8"/>
      <c r="I59" s="8"/>
      <c r="J59" s="30">
        <f>_xlfn.IFERROR(J51+J53+J55," ")</f>
        <v>0</v>
      </c>
      <c r="K59" s="16">
        <f>_xlfn.IFERROR(K51+K53+K57," ")</f>
        <v>0</v>
      </c>
      <c r="L59" s="11"/>
    </row>
    <row r="60" spans="2:12" s="1" customFormat="1" ht="15.75" hidden="1">
      <c r="B60" s="7"/>
      <c r="C60" s="33" t="s">
        <v>85</v>
      </c>
      <c r="D60" s="34"/>
      <c r="E60" s="35"/>
      <c r="G60" s="8"/>
      <c r="H60" s="8"/>
      <c r="I60" s="8"/>
      <c r="J60" s="30">
        <f>-IF(J51+J53+J55&lt;0,J51+J53+J55,0)</f>
        <v>0</v>
      </c>
      <c r="K60" s="16">
        <f>-IF(K51+K53+K57&lt;0,K51+K53+K57,0)</f>
        <v>0</v>
      </c>
      <c r="L60" s="11"/>
    </row>
    <row r="61" spans="2:12" s="1" customFormat="1" ht="15.75" hidden="1">
      <c r="B61" s="7"/>
      <c r="C61" s="33" t="s">
        <v>86</v>
      </c>
      <c r="D61" s="34"/>
      <c r="E61" s="35"/>
      <c r="F61" s="8"/>
      <c r="G61" s="8"/>
      <c r="H61" s="8"/>
      <c r="I61" s="8"/>
      <c r="J61" s="30">
        <f>IF(J51+J53+J55&gt;0,J51+J53+J55,0)</f>
        <v>0</v>
      </c>
      <c r="K61" s="30">
        <f>IF(K51+K53+K57&gt;0,K51+K53+K57,0)</f>
        <v>0</v>
      </c>
      <c r="L61" s="11"/>
    </row>
    <row r="62" spans="2:12" s="1" customFormat="1" ht="15.75">
      <c r="B62" s="7"/>
      <c r="C62" s="33"/>
      <c r="D62" s="34"/>
      <c r="E62" s="35"/>
      <c r="F62" s="8"/>
      <c r="G62" s="8"/>
      <c r="H62" s="8"/>
      <c r="I62" s="8"/>
      <c r="J62" s="36"/>
      <c r="K62" s="36"/>
      <c r="L62" s="11"/>
    </row>
    <row r="63" spans="2:12" s="1" customFormat="1" ht="15" thickBot="1">
      <c r="B63" s="37"/>
      <c r="C63" s="374" t="s">
        <v>255</v>
      </c>
      <c r="D63" s="38"/>
      <c r="E63" s="38"/>
      <c r="F63" s="38"/>
      <c r="G63" s="38"/>
      <c r="H63" s="38"/>
      <c r="I63" s="38"/>
      <c r="J63" s="38"/>
      <c r="K63" s="38"/>
      <c r="L63" s="39"/>
    </row>
    <row r="64" spans="2:18" s="1" customFormat="1" ht="15" thickTop="1">
      <c r="B64" s="40"/>
      <c r="C64" s="40"/>
      <c r="D64" s="40"/>
      <c r="E64" s="41"/>
      <c r="F64" s="41"/>
      <c r="G64" s="40"/>
      <c r="H64" s="40"/>
      <c r="I64" s="40"/>
      <c r="J64" s="40"/>
      <c r="K64" s="40"/>
      <c r="L64" s="40"/>
      <c r="M64" s="40"/>
      <c r="N64" s="40"/>
      <c r="O64" s="40"/>
      <c r="P64" s="40"/>
      <c r="Q64" s="40"/>
      <c r="R64" s="40"/>
    </row>
    <row r="65" spans="2:18" s="1" customFormat="1" ht="16.5" thickBot="1">
      <c r="B65" s="40"/>
      <c r="C65" s="40"/>
      <c r="D65" s="40"/>
      <c r="E65" s="640"/>
      <c r="F65" s="640"/>
      <c r="G65" s="40"/>
      <c r="H65" s="40"/>
      <c r="I65" s="40"/>
      <c r="K65" s="40"/>
      <c r="L65" s="40"/>
      <c r="M65" s="40"/>
      <c r="N65" s="40"/>
      <c r="O65" s="40"/>
      <c r="P65" s="40"/>
      <c r="Q65" s="40"/>
      <c r="R65" s="40"/>
    </row>
    <row r="66" spans="2:18" s="1" customFormat="1" ht="15" thickBot="1">
      <c r="B66" s="591" t="s">
        <v>0</v>
      </c>
      <c r="C66" s="592"/>
      <c r="D66" s="593"/>
      <c r="E66" s="42"/>
      <c r="F66" s="42"/>
      <c r="G66" s="43"/>
      <c r="H66" s="43"/>
      <c r="I66" s="40"/>
      <c r="J66" s="40"/>
      <c r="K66" s="40"/>
      <c r="N66" s="40"/>
      <c r="O66" s="40"/>
      <c r="P66" s="40"/>
      <c r="Q66" s="40"/>
      <c r="R66" s="40"/>
    </row>
    <row r="67" spans="2:18" s="1" customFormat="1" ht="14.25">
      <c r="B67" s="40"/>
      <c r="C67" s="40"/>
      <c r="D67" s="43"/>
      <c r="E67" s="42"/>
      <c r="F67" s="42"/>
      <c r="G67" s="43"/>
      <c r="H67" s="43"/>
      <c r="I67" s="40"/>
      <c r="J67" s="40"/>
      <c r="K67" s="40"/>
      <c r="L67" s="40"/>
      <c r="M67" s="40"/>
      <c r="N67" s="40"/>
      <c r="O67" s="40"/>
      <c r="P67" s="40"/>
      <c r="Q67" s="40"/>
      <c r="R67" s="40"/>
    </row>
    <row r="68" spans="2:18" s="1" customFormat="1" ht="14.25">
      <c r="B68" s="40"/>
      <c r="C68" s="641" t="s">
        <v>104</v>
      </c>
      <c r="D68" s="641"/>
      <c r="E68" s="641"/>
      <c r="F68" s="285">
        <f>K404</f>
        <v>1</v>
      </c>
      <c r="G68" s="43"/>
      <c r="H68" s="43" t="s">
        <v>1</v>
      </c>
      <c r="I68" s="40"/>
      <c r="J68" s="40"/>
      <c r="K68" s="40"/>
      <c r="L68" s="40"/>
      <c r="M68" s="40"/>
      <c r="N68" s="40"/>
      <c r="O68" s="40"/>
      <c r="P68" s="40"/>
      <c r="Q68" s="40"/>
      <c r="R68" s="40"/>
    </row>
    <row r="69" spans="2:18" s="1" customFormat="1" ht="14.25">
      <c r="B69" s="40"/>
      <c r="C69" s="631" t="s">
        <v>74</v>
      </c>
      <c r="D69" s="631"/>
      <c r="E69" s="631"/>
      <c r="F69" s="286">
        <f>K410+0</f>
        <v>0</v>
      </c>
      <c r="G69" s="43"/>
      <c r="H69" s="43" t="s">
        <v>6</v>
      </c>
      <c r="I69" s="40"/>
      <c r="J69" s="40"/>
      <c r="K69" s="40"/>
      <c r="L69" s="44"/>
      <c r="M69" s="40"/>
      <c r="N69" s="40"/>
      <c r="O69" s="40"/>
      <c r="P69" s="40"/>
      <c r="Q69" s="40"/>
      <c r="R69" s="40"/>
    </row>
    <row r="70" spans="2:18" s="1" customFormat="1" ht="14.25">
      <c r="B70" s="40"/>
      <c r="C70" s="631" t="s">
        <v>75</v>
      </c>
      <c r="D70" s="631"/>
      <c r="E70" s="631"/>
      <c r="F70" s="286">
        <f>K411+0</f>
        <v>0</v>
      </c>
      <c r="G70" s="43"/>
      <c r="H70" s="45" t="s">
        <v>169</v>
      </c>
      <c r="K70" s="40"/>
      <c r="L70" s="40"/>
      <c r="M70" s="40"/>
      <c r="N70" s="40"/>
      <c r="O70" s="40"/>
      <c r="P70" s="40"/>
      <c r="Q70" s="40"/>
      <c r="R70" s="40"/>
    </row>
    <row r="71" spans="2:18" s="1" customFormat="1" ht="14.25">
      <c r="B71" s="40"/>
      <c r="C71" s="632" t="s">
        <v>100</v>
      </c>
      <c r="D71" s="632"/>
      <c r="E71" s="632"/>
      <c r="F71" s="287">
        <f>F69+F70+0</f>
        <v>0</v>
      </c>
      <c r="K71" s="40"/>
      <c r="L71" s="40"/>
      <c r="M71" s="40"/>
      <c r="N71" s="40"/>
      <c r="O71" s="40"/>
      <c r="P71" s="40"/>
      <c r="Q71" s="40"/>
      <c r="R71" s="40"/>
    </row>
    <row r="72" spans="2:18" s="1" customFormat="1" ht="14.25">
      <c r="B72" s="40"/>
      <c r="G72" s="40"/>
      <c r="H72" s="43" t="s">
        <v>177</v>
      </c>
      <c r="K72" s="40"/>
      <c r="L72" s="40"/>
      <c r="M72" s="40"/>
      <c r="N72" s="40"/>
      <c r="O72" s="40"/>
      <c r="P72" s="40"/>
      <c r="Q72" s="40"/>
      <c r="R72" s="40"/>
    </row>
    <row r="73" spans="2:18" s="1" customFormat="1" ht="14.25">
      <c r="B73" s="40"/>
      <c r="C73" s="641" t="s">
        <v>174</v>
      </c>
      <c r="D73" s="641"/>
      <c r="E73" s="641"/>
      <c r="F73" s="286" t="e">
        <f>K414</f>
        <v>#N/A</v>
      </c>
      <c r="G73" s="40"/>
      <c r="H73" s="43" t="s">
        <v>178</v>
      </c>
      <c r="K73" s="40"/>
      <c r="L73" s="40"/>
      <c r="M73" s="40"/>
      <c r="N73" s="40"/>
      <c r="O73" s="40"/>
      <c r="P73" s="40"/>
      <c r="Q73" s="40"/>
      <c r="R73" s="40"/>
    </row>
    <row r="74" spans="2:18" s="1" customFormat="1" ht="14.25">
      <c r="B74" s="40"/>
      <c r="F74" s="46"/>
      <c r="G74" s="47"/>
      <c r="H74" s="45" t="s">
        <v>176</v>
      </c>
      <c r="I74" s="40"/>
      <c r="J74" s="40"/>
      <c r="K74" s="40"/>
      <c r="L74" s="40"/>
      <c r="M74" s="40"/>
      <c r="N74" s="40"/>
      <c r="O74" s="40"/>
      <c r="P74" s="40"/>
      <c r="Q74" s="40"/>
      <c r="R74" s="40"/>
    </row>
    <row r="75" spans="2:18" s="1" customFormat="1" ht="14.25">
      <c r="B75" s="40"/>
      <c r="C75" s="633" t="s">
        <v>155</v>
      </c>
      <c r="D75" s="634"/>
      <c r="E75" s="634"/>
      <c r="F75" s="48">
        <v>475</v>
      </c>
      <c r="G75" s="47"/>
      <c r="H75" s="40"/>
      <c r="I75" s="40"/>
      <c r="J75" s="40"/>
      <c r="K75" s="40"/>
      <c r="L75" s="40"/>
      <c r="M75" s="40"/>
      <c r="N75" s="40"/>
      <c r="O75" s="40"/>
      <c r="P75" s="40"/>
      <c r="Q75" s="40"/>
      <c r="R75" s="40"/>
    </row>
    <row r="76" spans="2:18" s="1" customFormat="1" ht="14.25">
      <c r="B76" s="40"/>
      <c r="C76" s="633" t="s">
        <v>154</v>
      </c>
      <c r="D76" s="634"/>
      <c r="E76" s="634"/>
      <c r="F76" s="48">
        <v>485</v>
      </c>
      <c r="G76" s="47"/>
      <c r="I76" s="40"/>
      <c r="J76" s="40"/>
      <c r="K76" s="40"/>
      <c r="L76" s="40"/>
      <c r="M76" s="40"/>
      <c r="N76" s="40"/>
      <c r="O76" s="40"/>
      <c r="P76" s="40"/>
      <c r="Q76" s="40"/>
      <c r="R76" s="40"/>
    </row>
    <row r="77" spans="2:18" s="1" customFormat="1" ht="14.25">
      <c r="B77" s="40"/>
      <c r="C77" s="635" t="s">
        <v>158</v>
      </c>
      <c r="D77" s="635"/>
      <c r="E77" s="635"/>
      <c r="F77" s="49">
        <v>419.22</v>
      </c>
      <c r="G77" s="47"/>
      <c r="I77" s="40"/>
      <c r="J77" s="40"/>
      <c r="K77" s="40"/>
      <c r="L77" s="40"/>
      <c r="M77" s="40"/>
      <c r="N77" s="40"/>
      <c r="O77" s="40"/>
      <c r="P77" s="40"/>
      <c r="Q77" s="40"/>
      <c r="R77" s="40"/>
    </row>
    <row r="78" spans="2:18" s="1" customFormat="1" ht="14.25">
      <c r="B78" s="40"/>
      <c r="C78" s="40"/>
      <c r="D78" s="50"/>
      <c r="G78" s="47"/>
      <c r="H78" s="40"/>
      <c r="I78" s="40"/>
      <c r="J78" s="40"/>
      <c r="K78" s="40"/>
      <c r="L78" s="40"/>
      <c r="M78" s="40"/>
      <c r="N78" s="40"/>
      <c r="O78" s="40"/>
      <c r="P78" s="40"/>
      <c r="Q78" s="40"/>
      <c r="R78" s="40"/>
    </row>
    <row r="79" spans="2:18" s="1" customFormat="1" ht="14.25">
      <c r="B79" s="40"/>
      <c r="C79" s="50" t="s">
        <v>110</v>
      </c>
      <c r="D79" s="50"/>
      <c r="E79" s="50"/>
      <c r="F79" s="51"/>
      <c r="G79" s="40"/>
      <c r="I79" s="40"/>
      <c r="J79" s="40"/>
      <c r="K79" s="40"/>
      <c r="L79" s="40"/>
      <c r="M79" s="40"/>
      <c r="N79" s="40"/>
      <c r="O79" s="40"/>
      <c r="P79" s="40"/>
      <c r="Q79" s="40"/>
      <c r="R79" s="40"/>
    </row>
    <row r="80" spans="2:18" s="1" customFormat="1" ht="14.25">
      <c r="B80" s="40"/>
      <c r="C80" s="50" t="s">
        <v>171</v>
      </c>
      <c r="D80" s="50"/>
      <c r="E80" s="50"/>
      <c r="F80" s="51"/>
      <c r="G80" s="40"/>
      <c r="I80" s="40"/>
      <c r="J80" s="40"/>
      <c r="K80" s="40"/>
      <c r="L80" s="40"/>
      <c r="M80" s="40"/>
      <c r="N80" s="40"/>
      <c r="O80" s="40"/>
      <c r="P80" s="40"/>
      <c r="Q80" s="40"/>
      <c r="R80" s="40"/>
    </row>
    <row r="81" spans="2:18" s="1" customFormat="1" ht="15.75" customHeight="1" thickBot="1">
      <c r="B81" s="40"/>
      <c r="C81" s="636">
        <v>2011</v>
      </c>
      <c r="D81" s="636"/>
      <c r="E81" s="636"/>
      <c r="F81" s="636"/>
      <c r="H81" s="621">
        <v>2012</v>
      </c>
      <c r="I81" s="621"/>
      <c r="J81" s="621"/>
      <c r="K81" s="621"/>
      <c r="L81" s="40"/>
      <c r="M81" s="40"/>
      <c r="N81" s="40"/>
      <c r="O81" s="40"/>
      <c r="P81" s="40"/>
      <c r="Q81" s="40"/>
      <c r="R81" s="40"/>
    </row>
    <row r="82" spans="2:18" s="1" customFormat="1" ht="15" thickBot="1">
      <c r="B82" s="40"/>
      <c r="C82" s="629" t="s">
        <v>120</v>
      </c>
      <c r="D82" s="630"/>
      <c r="E82" s="52" t="s">
        <v>27</v>
      </c>
      <c r="F82" s="53" t="s">
        <v>28</v>
      </c>
      <c r="G82" s="54"/>
      <c r="H82" s="629">
        <v>2012</v>
      </c>
      <c r="I82" s="630" t="s">
        <v>26</v>
      </c>
      <c r="J82" s="52" t="s">
        <v>27</v>
      </c>
      <c r="K82" s="53" t="s">
        <v>28</v>
      </c>
      <c r="L82" s="40"/>
      <c r="M82" s="40"/>
      <c r="N82" s="40"/>
      <c r="O82" s="40"/>
      <c r="P82" s="40"/>
      <c r="Q82" s="40"/>
      <c r="R82" s="40"/>
    </row>
    <row r="83" spans="2:18" s="1" customFormat="1" ht="14.25">
      <c r="B83" s="40"/>
      <c r="C83" s="55">
        <v>0</v>
      </c>
      <c r="D83" s="56">
        <v>4898</v>
      </c>
      <c r="E83" s="57">
        <v>0.115</v>
      </c>
      <c r="F83" s="58">
        <v>0</v>
      </c>
      <c r="H83" s="306">
        <v>0</v>
      </c>
      <c r="I83" s="307">
        <v>4898</v>
      </c>
      <c r="J83" s="308">
        <v>0.115</v>
      </c>
      <c r="K83" s="309">
        <v>0</v>
      </c>
      <c r="L83" s="40"/>
      <c r="M83" s="40"/>
      <c r="N83" s="40"/>
      <c r="O83" s="40"/>
      <c r="P83" s="40"/>
      <c r="Q83" s="40"/>
      <c r="R83" s="40"/>
    </row>
    <row r="84" spans="2:18" s="1" customFormat="1" ht="14.25">
      <c r="B84" s="40"/>
      <c r="C84" s="59">
        <v>4898</v>
      </c>
      <c r="D84" s="60">
        <v>7410</v>
      </c>
      <c r="E84" s="61">
        <v>0.14</v>
      </c>
      <c r="F84" s="62">
        <v>122.45</v>
      </c>
      <c r="H84" s="310">
        <v>4898</v>
      </c>
      <c r="I84" s="311">
        <v>7410</v>
      </c>
      <c r="J84" s="312">
        <v>0.14</v>
      </c>
      <c r="K84" s="313">
        <v>122.45</v>
      </c>
      <c r="L84" s="40"/>
      <c r="M84" s="40"/>
      <c r="N84" s="40"/>
      <c r="O84" s="40"/>
      <c r="P84" s="40"/>
      <c r="Q84" s="40"/>
      <c r="R84" s="40"/>
    </row>
    <row r="85" spans="2:18" s="1" customFormat="1" ht="14.25">
      <c r="B85" s="40"/>
      <c r="C85" s="59">
        <v>7410</v>
      </c>
      <c r="D85" s="60">
        <v>18375</v>
      </c>
      <c r="E85" s="61">
        <v>0.245</v>
      </c>
      <c r="F85" s="62">
        <v>900.5</v>
      </c>
      <c r="H85" s="310">
        <v>7410</v>
      </c>
      <c r="I85" s="311">
        <v>18375</v>
      </c>
      <c r="J85" s="312">
        <v>0.245</v>
      </c>
      <c r="K85" s="313">
        <v>900.5</v>
      </c>
      <c r="L85" s="40"/>
      <c r="M85" s="40"/>
      <c r="N85" s="40"/>
      <c r="O85" s="40"/>
      <c r="P85" s="40"/>
      <c r="Q85" s="40"/>
      <c r="R85" s="40"/>
    </row>
    <row r="86" spans="2:18" s="1" customFormat="1" ht="14.25">
      <c r="B86" s="40"/>
      <c r="C86" s="59">
        <v>18375</v>
      </c>
      <c r="D86" s="60">
        <v>42259</v>
      </c>
      <c r="E86" s="61">
        <v>0.355</v>
      </c>
      <c r="F86" s="62">
        <v>2921.75</v>
      </c>
      <c r="H86" s="310">
        <v>18375</v>
      </c>
      <c r="I86" s="311">
        <v>42259</v>
      </c>
      <c r="J86" s="312">
        <v>0.355</v>
      </c>
      <c r="K86" s="313">
        <v>2921.75</v>
      </c>
      <c r="L86" s="40"/>
      <c r="M86" s="40"/>
      <c r="N86" s="40"/>
      <c r="O86" s="40"/>
      <c r="P86" s="40"/>
      <c r="Q86" s="40"/>
      <c r="R86" s="40"/>
    </row>
    <row r="87" spans="2:18" s="1" customFormat="1" ht="14.25">
      <c r="B87" s="40"/>
      <c r="C87" s="59">
        <v>42259</v>
      </c>
      <c r="D87" s="60">
        <v>61244</v>
      </c>
      <c r="E87" s="61">
        <v>0.38</v>
      </c>
      <c r="F87" s="62">
        <v>3978.225</v>
      </c>
      <c r="H87" s="310">
        <v>42259</v>
      </c>
      <c r="I87" s="311">
        <v>61244</v>
      </c>
      <c r="J87" s="312">
        <v>0.38</v>
      </c>
      <c r="K87" s="313">
        <v>3978.225</v>
      </c>
      <c r="L87" s="40"/>
      <c r="M87" s="40"/>
      <c r="N87" s="40"/>
      <c r="O87" s="40"/>
      <c r="P87" s="40"/>
      <c r="Q87" s="40"/>
      <c r="R87" s="40"/>
    </row>
    <row r="88" spans="2:18" s="1" customFormat="1" ht="14.25">
      <c r="B88" s="40"/>
      <c r="C88" s="59">
        <v>61244</v>
      </c>
      <c r="D88" s="60">
        <v>66045</v>
      </c>
      <c r="E88" s="61">
        <v>0.415</v>
      </c>
      <c r="F88" s="62">
        <v>6121.764999999999</v>
      </c>
      <c r="H88" s="310">
        <v>61244</v>
      </c>
      <c r="I88" s="311">
        <v>66045</v>
      </c>
      <c r="J88" s="312">
        <v>0.415</v>
      </c>
      <c r="K88" s="313">
        <v>6121.764999999999</v>
      </c>
      <c r="L88" s="40"/>
      <c r="M88" s="40"/>
      <c r="N88" s="40"/>
      <c r="O88" s="40"/>
      <c r="P88" s="40"/>
      <c r="Q88" s="40"/>
      <c r="R88" s="40"/>
    </row>
    <row r="89" spans="2:18" s="1" customFormat="1" ht="14.25">
      <c r="B89" s="40"/>
      <c r="C89" s="59">
        <v>66045</v>
      </c>
      <c r="D89" s="63">
        <v>153300</v>
      </c>
      <c r="E89" s="61">
        <v>0.435</v>
      </c>
      <c r="F89" s="62">
        <v>7442.665000000001</v>
      </c>
      <c r="H89" s="310">
        <v>66045</v>
      </c>
      <c r="I89" s="314">
        <v>153300</v>
      </c>
      <c r="J89" s="312">
        <v>0.435</v>
      </c>
      <c r="K89" s="313">
        <v>7442.665000000001</v>
      </c>
      <c r="L89" s="40"/>
      <c r="M89" s="40"/>
      <c r="N89" s="40"/>
      <c r="O89" s="40"/>
      <c r="P89" s="40"/>
      <c r="Q89" s="40"/>
      <c r="R89" s="40"/>
    </row>
    <row r="90" spans="2:18" s="1" customFormat="1" ht="15" thickBot="1">
      <c r="B90" s="40"/>
      <c r="C90" s="64">
        <v>153300</v>
      </c>
      <c r="D90" s="65">
        <v>999999999</v>
      </c>
      <c r="E90" s="66">
        <v>0.465</v>
      </c>
      <c r="F90" s="67">
        <v>12041.665000000005</v>
      </c>
      <c r="H90" s="315">
        <v>153300</v>
      </c>
      <c r="I90" s="316">
        <v>999999999</v>
      </c>
      <c r="J90" s="317">
        <v>0.465</v>
      </c>
      <c r="K90" s="318">
        <v>12041.665000000005</v>
      </c>
      <c r="L90" s="40"/>
      <c r="M90" s="40"/>
      <c r="N90" s="40"/>
      <c r="O90" s="40"/>
      <c r="P90" s="40"/>
      <c r="Q90" s="40"/>
      <c r="R90" s="40"/>
    </row>
    <row r="91" spans="2:18" s="163" customFormat="1" ht="14.25">
      <c r="B91" s="41"/>
      <c r="C91" s="257"/>
      <c r="D91" s="257"/>
      <c r="E91" s="274"/>
      <c r="F91" s="275"/>
      <c r="H91" s="257"/>
      <c r="I91" s="257"/>
      <c r="J91" s="274"/>
      <c r="K91" s="275"/>
      <c r="L91" s="41"/>
      <c r="M91" s="41"/>
      <c r="N91" s="41"/>
      <c r="O91" s="41"/>
      <c r="P91" s="41"/>
      <c r="Q91" s="41"/>
      <c r="R91" s="41"/>
    </row>
    <row r="92" spans="2:18" s="163" customFormat="1" ht="14.25">
      <c r="B92" s="41"/>
      <c r="C92" s="50" t="s">
        <v>172</v>
      </c>
      <c r="D92" s="50"/>
      <c r="E92" s="50"/>
      <c r="F92" s="51"/>
      <c r="G92" s="40"/>
      <c r="I92" s="41"/>
      <c r="J92" s="41"/>
      <c r="K92" s="41"/>
      <c r="L92" s="41"/>
      <c r="M92" s="41"/>
      <c r="N92" s="41"/>
      <c r="O92" s="41"/>
      <c r="P92" s="41"/>
      <c r="Q92" s="41"/>
      <c r="R92" s="41"/>
    </row>
    <row r="93" spans="2:18" s="163" customFormat="1" ht="15" thickBot="1">
      <c r="B93" s="41"/>
      <c r="C93" s="636">
        <v>2011</v>
      </c>
      <c r="D93" s="636"/>
      <c r="E93" s="636"/>
      <c r="F93" s="636"/>
      <c r="G93" s="1"/>
      <c r="H93" s="621">
        <v>2012</v>
      </c>
      <c r="I93" s="621"/>
      <c r="J93" s="621"/>
      <c r="K93" s="621"/>
      <c r="L93" s="41"/>
      <c r="M93" s="41"/>
      <c r="N93" s="41"/>
      <c r="O93" s="41"/>
      <c r="P93" s="41"/>
      <c r="Q93" s="41"/>
      <c r="R93" s="41"/>
    </row>
    <row r="94" spans="2:18" s="163" customFormat="1" ht="15" thickBot="1">
      <c r="B94" s="41"/>
      <c r="C94" s="629" t="s">
        <v>120</v>
      </c>
      <c r="D94" s="630"/>
      <c r="E94" s="52" t="s">
        <v>27</v>
      </c>
      <c r="F94" s="53" t="s">
        <v>28</v>
      </c>
      <c r="G94" s="54"/>
      <c r="H94" s="629" t="s">
        <v>120</v>
      </c>
      <c r="I94" s="630" t="s">
        <v>26</v>
      </c>
      <c r="J94" s="52" t="s">
        <v>27</v>
      </c>
      <c r="K94" s="53" t="s">
        <v>28</v>
      </c>
      <c r="L94" s="41"/>
      <c r="M94" s="41"/>
      <c r="N94" s="41"/>
      <c r="O94" s="41"/>
      <c r="P94" s="41"/>
      <c r="Q94" s="41"/>
      <c r="R94" s="41"/>
    </row>
    <row r="95" spans="2:18" s="163" customFormat="1" ht="14.25">
      <c r="B95" s="41"/>
      <c r="C95" s="302">
        <v>0</v>
      </c>
      <c r="D95" s="303">
        <v>4898</v>
      </c>
      <c r="E95" s="304">
        <v>0.0805</v>
      </c>
      <c r="F95" s="299">
        <v>0</v>
      </c>
      <c r="G95" s="1"/>
      <c r="H95" s="319">
        <v>0</v>
      </c>
      <c r="I95" s="320">
        <v>4898</v>
      </c>
      <c r="J95" s="321">
        <v>0.0805</v>
      </c>
      <c r="K95" s="322">
        <v>0</v>
      </c>
      <c r="L95" s="41"/>
      <c r="M95" s="41"/>
      <c r="N95" s="41"/>
      <c r="O95" s="41"/>
      <c r="P95" s="41"/>
      <c r="Q95" s="41"/>
      <c r="R95" s="41"/>
    </row>
    <row r="96" spans="2:18" s="163" customFormat="1" ht="14.25">
      <c r="B96" s="41"/>
      <c r="C96" s="294">
        <v>4898</v>
      </c>
      <c r="D96" s="295">
        <v>7410</v>
      </c>
      <c r="E96" s="298">
        <v>0.10500000000000001</v>
      </c>
      <c r="F96" s="300">
        <v>120.00100000000003</v>
      </c>
      <c r="G96" s="1"/>
      <c r="H96" s="323">
        <v>4898</v>
      </c>
      <c r="I96" s="324">
        <v>7410</v>
      </c>
      <c r="J96" s="325">
        <v>0.10500000000000001</v>
      </c>
      <c r="K96" s="326">
        <v>120.00100000000003</v>
      </c>
      <c r="L96" s="41"/>
      <c r="M96" s="41"/>
      <c r="N96" s="41"/>
      <c r="O96" s="41"/>
      <c r="P96" s="41"/>
      <c r="Q96" s="41"/>
      <c r="R96" s="41"/>
    </row>
    <row r="97" spans="2:18" s="163" customFormat="1" ht="14.25">
      <c r="B97" s="41"/>
      <c r="C97" s="294">
        <v>7410</v>
      </c>
      <c r="D97" s="295">
        <v>18375</v>
      </c>
      <c r="E97" s="298">
        <v>0.196</v>
      </c>
      <c r="F97" s="300">
        <v>794.3109999999999</v>
      </c>
      <c r="G97" s="1"/>
      <c r="H97" s="323">
        <v>7410</v>
      </c>
      <c r="I97" s="324">
        <v>18375</v>
      </c>
      <c r="J97" s="325">
        <v>0.196</v>
      </c>
      <c r="K97" s="326">
        <v>794.3109999999999</v>
      </c>
      <c r="L97" s="41"/>
      <c r="M97" s="41"/>
      <c r="N97" s="41"/>
      <c r="O97" s="41"/>
      <c r="P97" s="41"/>
      <c r="Q97" s="41"/>
      <c r="R97" s="41"/>
    </row>
    <row r="98" spans="2:18" s="163" customFormat="1" ht="14.25">
      <c r="B98" s="41"/>
      <c r="C98" s="294">
        <v>18375</v>
      </c>
      <c r="D98" s="295">
        <v>42259</v>
      </c>
      <c r="E98" s="298">
        <v>0.284</v>
      </c>
      <c r="F98" s="300">
        <v>2411.3109999999992</v>
      </c>
      <c r="G98" s="1"/>
      <c r="H98" s="323">
        <v>18375</v>
      </c>
      <c r="I98" s="324">
        <v>42259</v>
      </c>
      <c r="J98" s="325">
        <v>0.284</v>
      </c>
      <c r="K98" s="326">
        <v>2411.3109999999992</v>
      </c>
      <c r="L98" s="41"/>
      <c r="M98" s="41"/>
      <c r="N98" s="41"/>
      <c r="O98" s="41"/>
      <c r="P98" s="41"/>
      <c r="Q98" s="41"/>
      <c r="R98" s="41"/>
    </row>
    <row r="99" spans="2:18" s="163" customFormat="1" ht="14.25">
      <c r="B99" s="41"/>
      <c r="C99" s="294">
        <v>42259</v>
      </c>
      <c r="D99" s="295">
        <v>61244</v>
      </c>
      <c r="E99" s="298">
        <v>0.30400000000000005</v>
      </c>
      <c r="F99" s="300">
        <v>3256.4910000000023</v>
      </c>
      <c r="G99" s="1"/>
      <c r="H99" s="323">
        <v>42259</v>
      </c>
      <c r="I99" s="324">
        <v>61244</v>
      </c>
      <c r="J99" s="325">
        <v>0.30400000000000005</v>
      </c>
      <c r="K99" s="326">
        <v>3256.4910000000023</v>
      </c>
      <c r="L99" s="41"/>
      <c r="M99" s="41"/>
      <c r="N99" s="41"/>
      <c r="O99" s="183" t="s">
        <v>219</v>
      </c>
      <c r="P99" s="41"/>
      <c r="Q99" s="41"/>
      <c r="R99" s="41"/>
    </row>
    <row r="100" spans="2:18" s="163" customFormat="1" ht="14.25">
      <c r="B100" s="41"/>
      <c r="C100" s="294">
        <v>61244</v>
      </c>
      <c r="D100" s="295">
        <v>66045</v>
      </c>
      <c r="E100" s="298">
        <v>0.332</v>
      </c>
      <c r="F100" s="300">
        <v>4971.323</v>
      </c>
      <c r="G100" s="1"/>
      <c r="H100" s="323">
        <v>61244</v>
      </c>
      <c r="I100" s="324">
        <v>66045</v>
      </c>
      <c r="J100" s="325">
        <v>0.332</v>
      </c>
      <c r="K100" s="326">
        <v>4971.323</v>
      </c>
      <c r="L100" s="41"/>
      <c r="M100" s="41"/>
      <c r="N100" s="41"/>
      <c r="O100" s="183" t="s">
        <v>220</v>
      </c>
      <c r="P100" s="41"/>
      <c r="Q100" s="41"/>
      <c r="R100" s="41"/>
    </row>
    <row r="101" spans="2:18" s="163" customFormat="1" ht="14.25">
      <c r="B101" s="41"/>
      <c r="C101" s="294">
        <v>66045</v>
      </c>
      <c r="D101" s="63">
        <v>153300</v>
      </c>
      <c r="E101" s="298">
        <v>0.34800000000000003</v>
      </c>
      <c r="F101" s="300">
        <v>6028.0430000000015</v>
      </c>
      <c r="G101" s="1"/>
      <c r="H101" s="323">
        <v>66045</v>
      </c>
      <c r="I101" s="314">
        <v>153300</v>
      </c>
      <c r="J101" s="325">
        <v>0.34800000000000003</v>
      </c>
      <c r="K101" s="326">
        <v>6028.0430000000015</v>
      </c>
      <c r="L101" s="41"/>
      <c r="M101" s="41"/>
      <c r="N101" s="41"/>
      <c r="O101" s="41"/>
      <c r="P101" s="41"/>
      <c r="Q101" s="41"/>
      <c r="R101" s="41"/>
    </row>
    <row r="102" spans="2:18" s="163" customFormat="1" ht="15" thickBot="1">
      <c r="B102" s="41"/>
      <c r="C102" s="64">
        <v>153300</v>
      </c>
      <c r="D102" s="65">
        <v>999999999</v>
      </c>
      <c r="E102" s="305">
        <v>0.37200000000000005</v>
      </c>
      <c r="F102" s="301">
        <v>9707.243000000006</v>
      </c>
      <c r="G102" s="1"/>
      <c r="H102" s="315">
        <v>153300</v>
      </c>
      <c r="I102" s="316">
        <v>999999999</v>
      </c>
      <c r="J102" s="327">
        <v>0.37200000000000005</v>
      </c>
      <c r="K102" s="328">
        <v>9707.243000000006</v>
      </c>
      <c r="L102" s="41"/>
      <c r="M102" s="41"/>
      <c r="N102" s="41"/>
      <c r="O102" s="41"/>
      <c r="P102" s="41"/>
      <c r="Q102" s="41"/>
      <c r="R102" s="41"/>
    </row>
    <row r="103" spans="2:18" s="163" customFormat="1" ht="14.25">
      <c r="B103" s="41"/>
      <c r="C103" s="257"/>
      <c r="D103" s="257"/>
      <c r="E103" s="274"/>
      <c r="F103" s="275"/>
      <c r="H103" s="257"/>
      <c r="I103" s="257"/>
      <c r="J103" s="274"/>
      <c r="K103" s="275"/>
      <c r="L103" s="41"/>
      <c r="M103" s="41"/>
      <c r="N103" s="41"/>
      <c r="O103" s="41"/>
      <c r="P103" s="41"/>
      <c r="Q103" s="41"/>
      <c r="R103" s="41"/>
    </row>
    <row r="104" spans="2:18" s="163" customFormat="1" ht="14.25">
      <c r="B104" s="41"/>
      <c r="C104" s="50" t="s">
        <v>173</v>
      </c>
      <c r="D104" s="50"/>
      <c r="E104" s="50"/>
      <c r="F104" s="51"/>
      <c r="G104" s="40"/>
      <c r="I104" s="41"/>
      <c r="J104" s="41"/>
      <c r="K104" s="41"/>
      <c r="L104" s="41"/>
      <c r="M104" s="41"/>
      <c r="N104" s="41"/>
      <c r="O104" s="41"/>
      <c r="P104" s="41"/>
      <c r="Q104" s="41"/>
      <c r="R104" s="41"/>
    </row>
    <row r="105" spans="2:18" s="163" customFormat="1" ht="15" thickBot="1">
      <c r="B105" s="41"/>
      <c r="C105" s="636">
        <v>2011</v>
      </c>
      <c r="D105" s="636"/>
      <c r="E105" s="636"/>
      <c r="F105" s="636"/>
      <c r="G105" s="1"/>
      <c r="H105" s="621">
        <v>2012</v>
      </c>
      <c r="I105" s="621"/>
      <c r="J105" s="621"/>
      <c r="K105" s="621"/>
      <c r="L105" s="41"/>
      <c r="M105" s="41"/>
      <c r="N105" s="41"/>
      <c r="O105" s="41"/>
      <c r="P105" s="41"/>
      <c r="Q105" s="41"/>
      <c r="R105" s="41"/>
    </row>
    <row r="106" spans="2:18" s="163" customFormat="1" ht="15" thickBot="1">
      <c r="B106" s="41"/>
      <c r="C106" s="649" t="s">
        <v>120</v>
      </c>
      <c r="D106" s="650"/>
      <c r="E106" s="296" t="s">
        <v>27</v>
      </c>
      <c r="F106" s="297" t="s">
        <v>28</v>
      </c>
      <c r="G106" s="54"/>
      <c r="H106" s="629" t="s">
        <v>120</v>
      </c>
      <c r="I106" s="630" t="s">
        <v>26</v>
      </c>
      <c r="J106" s="52" t="s">
        <v>27</v>
      </c>
      <c r="K106" s="53" t="s">
        <v>28</v>
      </c>
      <c r="L106" s="41"/>
      <c r="M106" s="41"/>
      <c r="N106" s="41"/>
      <c r="O106" s="41"/>
      <c r="P106" s="41"/>
      <c r="Q106" s="41"/>
      <c r="R106" s="41"/>
    </row>
    <row r="107" spans="2:18" s="163" customFormat="1" ht="15" thickBot="1">
      <c r="B107" s="41"/>
      <c r="C107" s="302">
        <v>0</v>
      </c>
      <c r="D107" s="303">
        <v>4898</v>
      </c>
      <c r="E107" s="304">
        <v>0.09</v>
      </c>
      <c r="F107" s="299">
        <v>0</v>
      </c>
      <c r="G107" s="1"/>
      <c r="H107" s="319">
        <v>0</v>
      </c>
      <c r="I107" s="320">
        <v>4898</v>
      </c>
      <c r="J107" s="321">
        <v>0.115</v>
      </c>
      <c r="K107" s="322">
        <f>K83</f>
        <v>0</v>
      </c>
      <c r="L107" s="41"/>
      <c r="M107" s="41"/>
      <c r="N107" s="41"/>
      <c r="O107" s="41"/>
      <c r="P107" s="41"/>
      <c r="Q107" s="41"/>
      <c r="R107" s="41"/>
    </row>
    <row r="108" spans="2:18" s="163" customFormat="1" ht="15" thickBot="1">
      <c r="B108" s="41"/>
      <c r="C108" s="294">
        <v>4898</v>
      </c>
      <c r="D108" s="295">
        <v>7410</v>
      </c>
      <c r="E108" s="298">
        <v>0.115</v>
      </c>
      <c r="F108" s="300">
        <v>122.45000000000005</v>
      </c>
      <c r="G108" s="1"/>
      <c r="H108" s="323">
        <v>4898</v>
      </c>
      <c r="I108" s="324">
        <v>7410</v>
      </c>
      <c r="J108" s="325">
        <v>0.14</v>
      </c>
      <c r="K108" s="322">
        <f aca="true" t="shared" si="0" ref="K108:K114">K84</f>
        <v>122.45</v>
      </c>
      <c r="L108" s="41"/>
      <c r="M108" s="41"/>
      <c r="N108" s="41"/>
      <c r="O108" s="41"/>
      <c r="P108" s="41"/>
      <c r="Q108" s="41"/>
      <c r="R108" s="41"/>
    </row>
    <row r="109" spans="2:18" s="163" customFormat="1" ht="15" thickBot="1">
      <c r="B109" s="41"/>
      <c r="C109" s="294">
        <v>7410</v>
      </c>
      <c r="D109" s="295">
        <v>18375</v>
      </c>
      <c r="E109" s="298">
        <v>0.23</v>
      </c>
      <c r="F109" s="300">
        <v>974.6000000000001</v>
      </c>
      <c r="G109" s="1"/>
      <c r="H109" s="323">
        <v>7410</v>
      </c>
      <c r="I109" s="324">
        <v>18375</v>
      </c>
      <c r="J109" s="325">
        <v>0.245</v>
      </c>
      <c r="K109" s="322">
        <f t="shared" si="0"/>
        <v>900.5</v>
      </c>
      <c r="L109" s="41"/>
      <c r="M109" s="41"/>
      <c r="N109" s="41"/>
      <c r="O109" s="41"/>
      <c r="P109" s="41"/>
      <c r="Q109" s="41"/>
      <c r="R109" s="41"/>
    </row>
    <row r="110" spans="2:18" s="163" customFormat="1" ht="15" thickBot="1">
      <c r="B110" s="41"/>
      <c r="C110" s="294">
        <v>18375</v>
      </c>
      <c r="D110" s="295">
        <v>42259</v>
      </c>
      <c r="E110" s="298">
        <v>0.34</v>
      </c>
      <c r="F110" s="300">
        <v>2995.8500000000004</v>
      </c>
      <c r="G110" s="1"/>
      <c r="H110" s="323">
        <v>18375</v>
      </c>
      <c r="I110" s="324">
        <v>42259</v>
      </c>
      <c r="J110" s="325">
        <v>0.355</v>
      </c>
      <c r="K110" s="322">
        <f t="shared" si="0"/>
        <v>2921.75</v>
      </c>
      <c r="L110" s="41"/>
      <c r="M110" s="41"/>
      <c r="N110" s="41"/>
      <c r="O110" s="41"/>
      <c r="P110" s="41"/>
      <c r="Q110" s="41"/>
      <c r="R110" s="41"/>
    </row>
    <row r="111" spans="2:18" s="163" customFormat="1" ht="15" thickBot="1">
      <c r="B111" s="41"/>
      <c r="C111" s="294">
        <v>42259</v>
      </c>
      <c r="D111" s="295">
        <v>61244</v>
      </c>
      <c r="E111" s="298">
        <v>0.375</v>
      </c>
      <c r="F111" s="300">
        <v>4474.914999999999</v>
      </c>
      <c r="G111" s="1"/>
      <c r="H111" s="323">
        <v>42259</v>
      </c>
      <c r="I111" s="324">
        <v>61244</v>
      </c>
      <c r="J111" s="325">
        <v>0.38</v>
      </c>
      <c r="K111" s="322">
        <f t="shared" si="0"/>
        <v>3978.225</v>
      </c>
      <c r="L111" s="41"/>
      <c r="M111" s="41"/>
      <c r="N111" s="41"/>
      <c r="O111" s="41"/>
      <c r="P111" s="41"/>
      <c r="Q111" s="41"/>
      <c r="R111" s="41"/>
    </row>
    <row r="112" spans="2:18" s="163" customFormat="1" ht="15" thickBot="1">
      <c r="B112" s="41"/>
      <c r="C112" s="294">
        <v>61244</v>
      </c>
      <c r="D112" s="295">
        <v>66045</v>
      </c>
      <c r="E112" s="298">
        <v>0.405</v>
      </c>
      <c r="F112" s="300">
        <v>6312.235000000001</v>
      </c>
      <c r="G112" s="1"/>
      <c r="H112" s="323">
        <v>61244</v>
      </c>
      <c r="I112" s="324">
        <v>66045</v>
      </c>
      <c r="J112" s="325">
        <v>0.415</v>
      </c>
      <c r="K112" s="322">
        <f t="shared" si="0"/>
        <v>6121.764999999999</v>
      </c>
      <c r="L112" s="41"/>
      <c r="M112" s="41"/>
      <c r="N112" s="41"/>
      <c r="O112" s="41"/>
      <c r="P112" s="41"/>
      <c r="Q112" s="41"/>
      <c r="R112" s="41"/>
    </row>
    <row r="113" spans="2:18" s="163" customFormat="1" ht="15" thickBot="1">
      <c r="B113" s="41"/>
      <c r="C113" s="294">
        <v>66045</v>
      </c>
      <c r="D113" s="63">
        <v>153300</v>
      </c>
      <c r="E113" s="298">
        <v>0.425</v>
      </c>
      <c r="F113" s="300">
        <v>7633.134999999998</v>
      </c>
      <c r="G113" s="1"/>
      <c r="H113" s="323">
        <v>66045</v>
      </c>
      <c r="I113" s="314">
        <v>153300</v>
      </c>
      <c r="J113" s="325">
        <v>0.435</v>
      </c>
      <c r="K113" s="322">
        <f t="shared" si="0"/>
        <v>7442.665000000001</v>
      </c>
      <c r="L113" s="41"/>
      <c r="M113" s="41"/>
      <c r="N113" s="41"/>
      <c r="O113" s="41"/>
      <c r="P113" s="41"/>
      <c r="Q113" s="41"/>
      <c r="R113" s="41"/>
    </row>
    <row r="114" spans="2:18" s="163" customFormat="1" ht="15" thickBot="1">
      <c r="B114" s="41"/>
      <c r="C114" s="64">
        <v>153300</v>
      </c>
      <c r="D114" s="65">
        <v>999999999</v>
      </c>
      <c r="E114" s="305">
        <v>0.465</v>
      </c>
      <c r="F114" s="301">
        <v>13765.135000000004</v>
      </c>
      <c r="G114" s="1"/>
      <c r="H114" s="315">
        <v>153300</v>
      </c>
      <c r="I114" s="316">
        <v>999999999</v>
      </c>
      <c r="J114" s="327">
        <v>0.465</v>
      </c>
      <c r="K114" s="322">
        <f t="shared" si="0"/>
        <v>12041.665000000005</v>
      </c>
      <c r="L114" s="41"/>
      <c r="M114" s="41"/>
      <c r="N114" s="41"/>
      <c r="O114" s="41"/>
      <c r="P114" s="41"/>
      <c r="Q114" s="41"/>
      <c r="R114" s="41"/>
    </row>
    <row r="115" spans="2:18" s="1" customFormat="1" ht="14.25">
      <c r="B115" s="40"/>
      <c r="H115" s="40"/>
      <c r="I115" s="40"/>
      <c r="J115" s="40"/>
      <c r="K115" s="40"/>
      <c r="L115" s="41"/>
      <c r="M115" s="40"/>
      <c r="N115" s="40"/>
      <c r="O115" s="40"/>
      <c r="P115" s="40"/>
      <c r="Q115" s="40"/>
      <c r="R115" s="40"/>
    </row>
    <row r="116" spans="2:18" s="1" customFormat="1" ht="15" thickBot="1">
      <c r="B116" s="40"/>
      <c r="H116" s="40"/>
      <c r="I116" s="40"/>
      <c r="J116" s="40"/>
      <c r="K116" s="40"/>
      <c r="L116" s="41"/>
      <c r="M116" s="40"/>
      <c r="N116" s="40"/>
      <c r="O116" s="40"/>
      <c r="P116" s="40"/>
      <c r="Q116" s="40"/>
      <c r="R116" s="40"/>
    </row>
    <row r="117" spans="2:18" s="1" customFormat="1" ht="15" thickBot="1">
      <c r="B117" s="591" t="s">
        <v>121</v>
      </c>
      <c r="C117" s="592"/>
      <c r="D117" s="593"/>
      <c r="H117" s="40"/>
      <c r="I117" s="40"/>
      <c r="J117" s="40"/>
      <c r="K117" s="40"/>
      <c r="L117" s="41"/>
      <c r="M117" s="40"/>
      <c r="N117" s="40"/>
      <c r="O117" s="40"/>
      <c r="P117" s="40"/>
      <c r="Q117" s="40"/>
      <c r="R117" s="40"/>
    </row>
    <row r="118" spans="2:18" s="1" customFormat="1" ht="15" thickBot="1">
      <c r="B118" s="40"/>
      <c r="C118" s="40"/>
      <c r="D118" s="40"/>
      <c r="E118" s="40"/>
      <c r="F118" s="40"/>
      <c r="G118" s="40"/>
      <c r="I118" s="40"/>
      <c r="J118" s="40"/>
      <c r="K118" s="40"/>
      <c r="L118" s="40"/>
      <c r="M118" s="40"/>
      <c r="N118" s="40"/>
      <c r="O118" s="40"/>
      <c r="P118" s="40"/>
      <c r="Q118" s="40"/>
      <c r="R118" s="40"/>
    </row>
    <row r="119" spans="2:18" s="1" customFormat="1" ht="15" thickBot="1">
      <c r="B119" s="68" t="s">
        <v>2</v>
      </c>
      <c r="C119" s="69"/>
      <c r="D119" s="70"/>
      <c r="E119" s="71"/>
      <c r="F119" s="43"/>
      <c r="G119" s="43"/>
      <c r="H119" s="43"/>
      <c r="I119" s="40"/>
      <c r="J119" s="40"/>
      <c r="K119" s="40"/>
      <c r="L119" s="40"/>
      <c r="M119" s="40"/>
      <c r="N119" s="40"/>
      <c r="O119" s="40"/>
      <c r="P119" s="40"/>
      <c r="Q119" s="40"/>
      <c r="R119" s="40"/>
    </row>
    <row r="120" spans="2:18" s="1" customFormat="1" ht="14.25">
      <c r="B120" s="40"/>
      <c r="C120" s="40"/>
      <c r="D120" s="43"/>
      <c r="E120" s="71"/>
      <c r="F120" s="43"/>
      <c r="G120" s="43"/>
      <c r="H120" s="43"/>
      <c r="I120" s="40"/>
      <c r="J120" s="72">
        <v>2011</v>
      </c>
      <c r="K120" s="73">
        <v>2012</v>
      </c>
      <c r="L120" s="40"/>
      <c r="M120" s="40"/>
      <c r="N120" s="40"/>
      <c r="O120" s="40"/>
      <c r="P120" s="40"/>
      <c r="Q120" s="40"/>
      <c r="R120" s="40"/>
    </row>
    <row r="121" spans="2:18" s="1" customFormat="1" ht="15" thickBot="1">
      <c r="B121" s="40"/>
      <c r="C121" s="40"/>
      <c r="D121" s="43"/>
      <c r="E121" s="43"/>
      <c r="F121" s="43"/>
      <c r="G121" s="43"/>
      <c r="H121" s="43"/>
      <c r="I121" s="40"/>
      <c r="J121" s="40"/>
      <c r="K121" s="40"/>
      <c r="L121" s="40"/>
      <c r="N121" s="40"/>
      <c r="O121" s="40"/>
      <c r="P121" s="40"/>
      <c r="Q121" s="40"/>
      <c r="R121" s="40"/>
    </row>
    <row r="122" spans="2:18" s="1" customFormat="1" ht="14.25">
      <c r="B122" s="622" t="s">
        <v>58</v>
      </c>
      <c r="C122" s="40"/>
      <c r="D122" s="40" t="s">
        <v>41</v>
      </c>
      <c r="E122" s="40"/>
      <c r="F122" s="40"/>
      <c r="G122" s="40"/>
      <c r="H122" s="40"/>
      <c r="I122" s="74" t="s">
        <v>87</v>
      </c>
      <c r="J122" s="75">
        <f>'Simular IRS 2012'!I28</f>
        <v>0</v>
      </c>
      <c r="K122" s="76">
        <f>'Simular IRS 2012'!I28</f>
        <v>0</v>
      </c>
      <c r="L122" s="40"/>
      <c r="M122" s="40"/>
      <c r="N122" s="40"/>
      <c r="O122" s="40"/>
      <c r="P122" s="40"/>
      <c r="Q122" s="40"/>
      <c r="R122" s="40"/>
    </row>
    <row r="123" spans="2:18" s="1" customFormat="1" ht="14.25">
      <c r="B123" s="623"/>
      <c r="C123" s="40"/>
      <c r="D123" s="40" t="s">
        <v>42</v>
      </c>
      <c r="E123" s="40"/>
      <c r="F123" s="40"/>
      <c r="G123" s="40"/>
      <c r="H123" s="40"/>
      <c r="I123" s="74" t="s">
        <v>88</v>
      </c>
      <c r="J123" s="75">
        <f>'Simular IRS 2012'!I30</f>
        <v>0</v>
      </c>
      <c r="K123" s="77">
        <f>'Simular IRS 2012'!I30</f>
        <v>0</v>
      </c>
      <c r="L123" s="40"/>
      <c r="M123" s="40"/>
      <c r="N123" s="40"/>
      <c r="O123" s="40"/>
      <c r="P123" s="40"/>
      <c r="Q123" s="40"/>
      <c r="R123" s="40"/>
    </row>
    <row r="124" spans="2:18" s="1" customFormat="1" ht="14.25">
      <c r="B124" s="623"/>
      <c r="C124" s="40"/>
      <c r="D124" s="40" t="s">
        <v>43</v>
      </c>
      <c r="E124" s="40"/>
      <c r="F124" s="40"/>
      <c r="G124" s="40"/>
      <c r="H124" s="40"/>
      <c r="I124" s="74" t="s">
        <v>89</v>
      </c>
      <c r="J124" s="75">
        <f>F140*12*F139</f>
        <v>4104</v>
      </c>
      <c r="K124" s="77">
        <f>G140*12*G139</f>
        <v>4104</v>
      </c>
      <c r="L124" s="40"/>
      <c r="M124" s="40"/>
      <c r="N124" s="40"/>
      <c r="O124" s="40"/>
      <c r="P124" s="40"/>
      <c r="Q124" s="40"/>
      <c r="R124" s="40"/>
    </row>
    <row r="125" spans="2:18" s="1" customFormat="1" ht="15" thickBot="1">
      <c r="B125" s="624"/>
      <c r="C125" s="40"/>
      <c r="D125" s="40" t="s">
        <v>44</v>
      </c>
      <c r="E125" s="40"/>
      <c r="F125" s="40"/>
      <c r="G125" s="40"/>
      <c r="H125" s="40"/>
      <c r="I125" s="74" t="s">
        <v>90</v>
      </c>
      <c r="J125" s="75">
        <f>IF($J$122&gt;=$J$124,IF($J$123=0,$J$124,IF($J$123&gt;$J$124,$J$123,$J$124)),$J$122)</f>
        <v>0</v>
      </c>
      <c r="K125" s="78">
        <f>IF($K$122&gt;=$K$124,IF($K$123=0,$K$124,IF($K$123&gt;$K$124,$K$123,$K$124)),$K$122)</f>
        <v>0</v>
      </c>
      <c r="L125" s="40"/>
      <c r="M125" s="40"/>
      <c r="N125" s="40"/>
      <c r="O125" s="40"/>
      <c r="P125" s="40"/>
      <c r="Q125" s="40"/>
      <c r="R125" s="40"/>
    </row>
    <row r="126" spans="2:18" s="1" customFormat="1" ht="15" thickBot="1">
      <c r="B126" s="40"/>
      <c r="C126" s="40"/>
      <c r="D126" s="43"/>
      <c r="E126" s="43"/>
      <c r="F126" s="43"/>
      <c r="G126" s="43"/>
      <c r="H126" s="43"/>
      <c r="I126" s="40"/>
      <c r="J126" s="40"/>
      <c r="K126" s="40"/>
      <c r="L126" s="40"/>
      <c r="N126" s="40"/>
      <c r="O126" s="40"/>
      <c r="P126" s="40"/>
      <c r="Q126" s="40"/>
      <c r="R126" s="40"/>
    </row>
    <row r="127" spans="2:18" s="1" customFormat="1" ht="14.25">
      <c r="B127" s="622" t="s">
        <v>59</v>
      </c>
      <c r="C127" s="40"/>
      <c r="D127" s="40" t="s">
        <v>83</v>
      </c>
      <c r="E127" s="40"/>
      <c r="F127" s="40"/>
      <c r="G127" s="40"/>
      <c r="H127" s="40"/>
      <c r="I127" s="72">
        <v>1</v>
      </c>
      <c r="J127" s="75">
        <f>'Simular IRS 2012'!L28</f>
        <v>0</v>
      </c>
      <c r="K127" s="76">
        <f>'Simular IRS 2012'!L28</f>
        <v>0</v>
      </c>
      <c r="L127" s="79"/>
      <c r="M127" s="79"/>
      <c r="N127" s="40"/>
      <c r="O127" s="40"/>
      <c r="P127" s="40"/>
      <c r="Q127" s="40"/>
      <c r="R127" s="40"/>
    </row>
    <row r="128" spans="2:18" s="1" customFormat="1" ht="14.25">
      <c r="B128" s="623"/>
      <c r="C128" s="40"/>
      <c r="D128" s="40" t="s">
        <v>42</v>
      </c>
      <c r="E128" s="40"/>
      <c r="F128" s="40"/>
      <c r="G128" s="40"/>
      <c r="H128" s="40"/>
      <c r="I128" s="72">
        <v>2</v>
      </c>
      <c r="J128" s="75">
        <f>'Simular IRS 2012'!L30</f>
        <v>0</v>
      </c>
      <c r="K128" s="77">
        <f>'Simular IRS 2012'!L30</f>
        <v>0</v>
      </c>
      <c r="L128" s="79"/>
      <c r="M128" s="79"/>
      <c r="N128" s="40"/>
      <c r="O128" s="40"/>
      <c r="P128" s="40"/>
      <c r="Q128" s="40"/>
      <c r="R128" s="40"/>
    </row>
    <row r="129" spans="2:18" s="1" customFormat="1" ht="14.25">
      <c r="B129" s="623"/>
      <c r="C129" s="40"/>
      <c r="D129" s="40" t="s">
        <v>43</v>
      </c>
      <c r="E129" s="40"/>
      <c r="F129" s="40"/>
      <c r="G129" s="40"/>
      <c r="H129" s="40"/>
      <c r="I129" s="72">
        <v>3</v>
      </c>
      <c r="J129" s="75">
        <f>F140*12*F139</f>
        <v>4104</v>
      </c>
      <c r="K129" s="77">
        <f>G140*12*G139</f>
        <v>4104</v>
      </c>
      <c r="L129" s="79"/>
      <c r="M129" s="79"/>
      <c r="N129" s="40"/>
      <c r="O129" s="40"/>
      <c r="P129" s="40"/>
      <c r="Q129" s="40"/>
      <c r="R129" s="40"/>
    </row>
    <row r="130" spans="2:18" s="1" customFormat="1" ht="15" thickBot="1">
      <c r="B130" s="624"/>
      <c r="C130" s="40"/>
      <c r="D130" s="40" t="s">
        <v>44</v>
      </c>
      <c r="E130" s="40"/>
      <c r="F130" s="40"/>
      <c r="G130" s="40"/>
      <c r="H130" s="40"/>
      <c r="I130" s="72">
        <v>4</v>
      </c>
      <c r="J130" s="75">
        <f>IF($J$127&gt;=$J$129,IF($J$128=0,$J$129,IF($J$128&gt;$J$129,$J$128,$J$129)),$J$127)</f>
        <v>0</v>
      </c>
      <c r="K130" s="78">
        <f>IF($K$127&gt;=$K$129,IF($K$128=0,$K$129,IF($K$128&gt;$K$129,$K$128,$K$129)),$K$127)</f>
        <v>0</v>
      </c>
      <c r="L130" s="79"/>
      <c r="M130" s="79"/>
      <c r="N130" s="40"/>
      <c r="O130" s="40"/>
      <c r="P130" s="40"/>
      <c r="Q130" s="40"/>
      <c r="R130" s="40"/>
    </row>
    <row r="131" spans="2:18" s="1" customFormat="1" ht="14.25">
      <c r="B131" s="40"/>
      <c r="C131" s="40"/>
      <c r="D131" s="43"/>
      <c r="E131" s="71"/>
      <c r="F131" s="43"/>
      <c r="G131" s="40"/>
      <c r="H131" s="40"/>
      <c r="I131" s="40"/>
      <c r="J131" s="40"/>
      <c r="K131" s="40"/>
      <c r="L131" s="79"/>
      <c r="M131" s="79"/>
      <c r="N131" s="40"/>
      <c r="O131" s="40"/>
      <c r="P131" s="40"/>
      <c r="Q131" s="40"/>
      <c r="R131" s="40"/>
    </row>
    <row r="132" spans="2:18" s="1" customFormat="1" ht="14.25">
      <c r="B132" s="50" t="s">
        <v>47</v>
      </c>
      <c r="C132" s="50"/>
      <c r="D132" s="51" t="s">
        <v>51</v>
      </c>
      <c r="E132" s="50"/>
      <c r="F132" s="50"/>
      <c r="G132" s="50"/>
      <c r="H132" s="50"/>
      <c r="I132" s="50"/>
      <c r="J132" s="80">
        <f>$J$127+$J$122</f>
        <v>0</v>
      </c>
      <c r="K132" s="81">
        <f>K122+K127</f>
        <v>0</v>
      </c>
      <c r="L132" s="79"/>
      <c r="M132" s="79"/>
      <c r="N132" s="40"/>
      <c r="O132" s="40"/>
      <c r="P132" s="40"/>
      <c r="Q132" s="40"/>
      <c r="R132" s="40"/>
    </row>
    <row r="133" spans="2:18" s="1" customFormat="1" ht="14.25">
      <c r="B133" s="50"/>
      <c r="C133" s="50"/>
      <c r="D133" s="51"/>
      <c r="E133" s="50"/>
      <c r="F133" s="50"/>
      <c r="G133" s="50"/>
      <c r="H133" s="50"/>
      <c r="I133" s="50"/>
      <c r="J133" s="82"/>
      <c r="K133" s="50"/>
      <c r="L133" s="79"/>
      <c r="M133" s="79"/>
      <c r="N133" s="40"/>
      <c r="O133" s="40"/>
      <c r="P133" s="40"/>
      <c r="Q133" s="40"/>
      <c r="R133" s="40"/>
    </row>
    <row r="134" spans="2:18" s="1" customFormat="1" ht="14.25">
      <c r="B134" s="50" t="s">
        <v>47</v>
      </c>
      <c r="C134" s="50"/>
      <c r="D134" s="51" t="s">
        <v>52</v>
      </c>
      <c r="E134" s="50"/>
      <c r="F134" s="50"/>
      <c r="G134" s="50"/>
      <c r="H134" s="50"/>
      <c r="I134" s="50"/>
      <c r="J134" s="80">
        <f>$J$125+$J$130</f>
        <v>0</v>
      </c>
      <c r="K134" s="81">
        <f>K125+K130</f>
        <v>0</v>
      </c>
      <c r="L134" s="79"/>
      <c r="M134" s="79"/>
      <c r="N134" s="40"/>
      <c r="O134" s="40"/>
      <c r="P134" s="40"/>
      <c r="Q134" s="40"/>
      <c r="R134" s="40"/>
    </row>
    <row r="135" spans="2:18" s="1" customFormat="1" ht="14.25">
      <c r="B135" s="40"/>
      <c r="C135" s="40"/>
      <c r="D135" s="43"/>
      <c r="E135" s="40"/>
      <c r="F135" s="40"/>
      <c r="G135" s="40"/>
      <c r="H135" s="40"/>
      <c r="I135" s="40"/>
      <c r="J135" s="83"/>
      <c r="K135" s="40"/>
      <c r="L135" s="79"/>
      <c r="M135" s="79"/>
      <c r="N135" s="40"/>
      <c r="O135" s="40"/>
      <c r="P135" s="40"/>
      <c r="Q135" s="40"/>
      <c r="R135" s="40"/>
    </row>
    <row r="136" spans="2:18" s="1" customFormat="1" ht="14.25">
      <c r="B136" s="40"/>
      <c r="C136" s="40"/>
      <c r="D136" s="43"/>
      <c r="E136" s="40"/>
      <c r="F136" s="40"/>
      <c r="G136" s="40"/>
      <c r="H136" s="40"/>
      <c r="I136" s="40"/>
      <c r="J136" s="83"/>
      <c r="K136" s="40"/>
      <c r="L136" s="40"/>
      <c r="M136" s="40"/>
      <c r="N136" s="40"/>
      <c r="O136" s="40"/>
      <c r="P136" s="40"/>
      <c r="Q136" s="40"/>
      <c r="R136" s="40"/>
    </row>
    <row r="137" spans="2:18" s="1" customFormat="1" ht="14.25">
      <c r="B137" s="40"/>
      <c r="C137" s="40"/>
      <c r="D137" s="84" t="s">
        <v>119</v>
      </c>
      <c r="E137" s="85"/>
      <c r="F137" s="85"/>
      <c r="G137" s="85"/>
      <c r="H137" s="40"/>
      <c r="I137" s="40"/>
      <c r="J137" s="83"/>
      <c r="K137" s="40"/>
      <c r="L137" s="40"/>
      <c r="M137" s="40"/>
      <c r="N137" s="40"/>
      <c r="O137" s="40"/>
      <c r="P137" s="40"/>
      <c r="Q137" s="40"/>
      <c r="R137" s="40"/>
    </row>
    <row r="138" spans="2:18" s="1" customFormat="1" ht="14.25">
      <c r="B138" s="40"/>
      <c r="C138" s="40"/>
      <c r="D138" s="86"/>
      <c r="E138" s="85"/>
      <c r="F138" s="87">
        <v>2011</v>
      </c>
      <c r="G138" s="87">
        <v>2012</v>
      </c>
      <c r="H138" s="40"/>
      <c r="I138" s="40"/>
      <c r="J138" s="83"/>
      <c r="K138" s="40"/>
      <c r="L138" s="40"/>
      <c r="M138" s="40"/>
      <c r="N138" s="40"/>
      <c r="O138" s="40"/>
      <c r="P138" s="40"/>
      <c r="Q138" s="40"/>
      <c r="R138" s="40"/>
    </row>
    <row r="139" spans="2:18" s="1" customFormat="1" ht="14.25">
      <c r="B139" s="40"/>
      <c r="C139" s="40"/>
      <c r="D139" s="625" t="str">
        <f>C75</f>
        <v>RMMG 2010</v>
      </c>
      <c r="E139" s="625"/>
      <c r="F139" s="88">
        <f>F75</f>
        <v>475</v>
      </c>
      <c r="G139" s="89">
        <f>F75</f>
        <v>475</v>
      </c>
      <c r="H139" s="40"/>
      <c r="I139" s="40"/>
      <c r="J139" s="83"/>
      <c r="K139" s="40"/>
      <c r="L139" s="40"/>
      <c r="M139" s="40"/>
      <c r="N139" s="40"/>
      <c r="O139" s="40"/>
      <c r="P139" s="40"/>
      <c r="Q139" s="40"/>
      <c r="R139" s="40"/>
    </row>
    <row r="140" spans="2:18" s="1" customFormat="1" ht="14.25">
      <c r="B140" s="40"/>
      <c r="C140" s="40"/>
      <c r="D140" s="90" t="s">
        <v>124</v>
      </c>
      <c r="E140" s="88"/>
      <c r="F140" s="91">
        <v>0.72</v>
      </c>
      <c r="G140" s="92">
        <v>0.72</v>
      </c>
      <c r="H140" s="40"/>
      <c r="I140" s="40"/>
      <c r="J140" s="83"/>
      <c r="K140" s="40"/>
      <c r="L140" s="40"/>
      <c r="M140" s="40"/>
      <c r="N140" s="40"/>
      <c r="O140" s="40"/>
      <c r="P140" s="40"/>
      <c r="Q140" s="40"/>
      <c r="R140" s="40"/>
    </row>
    <row r="141" spans="2:18" s="1" customFormat="1" ht="14.25">
      <c r="B141" s="40"/>
      <c r="C141" s="40"/>
      <c r="D141" s="86"/>
      <c r="E141" s="85"/>
      <c r="F141" s="85"/>
      <c r="G141" s="85"/>
      <c r="H141" s="40"/>
      <c r="I141" s="40"/>
      <c r="J141" s="83"/>
      <c r="K141" s="40"/>
      <c r="M141" s="40"/>
      <c r="N141" s="40"/>
      <c r="O141" s="40"/>
      <c r="P141" s="40"/>
      <c r="Q141" s="40"/>
      <c r="R141" s="40"/>
    </row>
    <row r="142" spans="2:18" s="1" customFormat="1" ht="15" thickBot="1">
      <c r="B142" s="40"/>
      <c r="C142" s="40"/>
      <c r="D142" s="40"/>
      <c r="E142" s="40"/>
      <c r="F142" s="40"/>
      <c r="G142" s="40"/>
      <c r="H142" s="40"/>
      <c r="I142" s="40"/>
      <c r="J142" s="93"/>
      <c r="K142" s="40"/>
      <c r="L142" s="40"/>
      <c r="M142" s="40"/>
      <c r="N142" s="40"/>
      <c r="O142" s="40"/>
      <c r="P142" s="40"/>
      <c r="Q142" s="40"/>
      <c r="R142" s="40"/>
    </row>
    <row r="143" spans="2:18" s="1" customFormat="1" ht="15" thickBot="1">
      <c r="B143" s="68" t="s">
        <v>3</v>
      </c>
      <c r="C143" s="69"/>
      <c r="D143" s="94"/>
      <c r="E143" s="71"/>
      <c r="F143" s="40"/>
      <c r="G143" s="40"/>
      <c r="H143" s="40"/>
      <c r="I143" s="40"/>
      <c r="J143" s="40"/>
      <c r="K143" s="40"/>
      <c r="M143" s="40"/>
      <c r="N143" s="40"/>
      <c r="O143" s="40"/>
      <c r="P143" s="40"/>
      <c r="Q143" s="40"/>
      <c r="R143" s="40"/>
    </row>
    <row r="144" spans="2:18" s="1" customFormat="1" ht="15" thickBot="1">
      <c r="B144" s="40"/>
      <c r="C144" s="40"/>
      <c r="D144" s="40"/>
      <c r="E144" s="40"/>
      <c r="F144" s="40"/>
      <c r="G144" s="40"/>
      <c r="H144" s="40"/>
      <c r="I144" s="40"/>
      <c r="J144" s="95">
        <v>2011</v>
      </c>
      <c r="K144" s="96">
        <v>2012</v>
      </c>
      <c r="L144" s="40"/>
      <c r="M144" s="40"/>
      <c r="N144" s="40"/>
      <c r="O144" s="40"/>
      <c r="P144" s="40"/>
      <c r="Q144" s="40"/>
      <c r="R144" s="40"/>
    </row>
    <row r="145" spans="2:18" s="1" customFormat="1" ht="14.25" customHeight="1">
      <c r="B145" s="626" t="s">
        <v>58</v>
      </c>
      <c r="C145" s="40"/>
      <c r="D145" s="97" t="s">
        <v>39</v>
      </c>
      <c r="E145" s="40"/>
      <c r="F145" s="40"/>
      <c r="G145" s="40"/>
      <c r="H145" s="40"/>
      <c r="I145" s="40"/>
      <c r="J145" s="40"/>
      <c r="K145" s="40"/>
      <c r="L145" s="40"/>
      <c r="M145" s="40"/>
      <c r="N145" s="40"/>
      <c r="O145" s="40"/>
      <c r="P145" s="40"/>
      <c r="Q145" s="40"/>
      <c r="R145" s="40"/>
    </row>
    <row r="146" spans="2:18" s="1" customFormat="1" ht="14.25">
      <c r="B146" s="627"/>
      <c r="C146" s="40"/>
      <c r="D146" s="40" t="s">
        <v>64</v>
      </c>
      <c r="E146" s="40"/>
      <c r="F146" s="40"/>
      <c r="G146" s="40"/>
      <c r="H146" s="40"/>
      <c r="I146" s="40"/>
      <c r="J146" s="75">
        <f>'Simular IRS 2012'!I37*0.2</f>
        <v>0</v>
      </c>
      <c r="K146" s="98">
        <f>'Simular IRS 2012'!I37*0.2</f>
        <v>0</v>
      </c>
      <c r="L146" s="40"/>
      <c r="M146" s="40"/>
      <c r="N146" s="40"/>
      <c r="O146" s="40"/>
      <c r="P146" s="40"/>
      <c r="Q146" s="40"/>
      <c r="R146" s="40"/>
    </row>
    <row r="147" spans="2:18" s="1" customFormat="1" ht="14.25">
      <c r="B147" s="627"/>
      <c r="C147" s="40"/>
      <c r="D147" s="40" t="s">
        <v>65</v>
      </c>
      <c r="E147" s="40"/>
      <c r="F147" s="40"/>
      <c r="G147" s="40"/>
      <c r="H147" s="40"/>
      <c r="I147" s="40"/>
      <c r="J147" s="75">
        <f>'Simular IRS 2012'!I39*0.7</f>
        <v>0</v>
      </c>
      <c r="K147" s="98">
        <f>'Simular IRS 2012'!I39*0.7</f>
        <v>0</v>
      </c>
      <c r="L147" s="40"/>
      <c r="M147" s="40"/>
      <c r="N147" s="40"/>
      <c r="O147" s="40"/>
      <c r="P147" s="40"/>
      <c r="Q147" s="40"/>
      <c r="R147" s="40"/>
    </row>
    <row r="148" spans="2:18" s="1" customFormat="1" ht="7.5" customHeight="1">
      <c r="B148" s="627"/>
      <c r="C148" s="40"/>
      <c r="D148" s="40"/>
      <c r="E148" s="40"/>
      <c r="F148" s="40"/>
      <c r="G148" s="40"/>
      <c r="H148" s="40"/>
      <c r="I148" s="40"/>
      <c r="J148" s="99"/>
      <c r="K148" s="40"/>
      <c r="L148" s="40"/>
      <c r="M148" s="40"/>
      <c r="N148" s="40"/>
      <c r="O148" s="40"/>
      <c r="P148" s="40"/>
      <c r="Q148" s="40"/>
      <c r="R148" s="40"/>
    </row>
    <row r="149" spans="2:18" s="1" customFormat="1" ht="14.25">
      <c r="B149" s="627"/>
      <c r="C149" s="40"/>
      <c r="D149" s="97" t="s">
        <v>38</v>
      </c>
      <c r="E149" s="40"/>
      <c r="F149" s="40"/>
      <c r="G149" s="40"/>
      <c r="H149" s="40"/>
      <c r="I149" s="40"/>
      <c r="J149" s="40"/>
      <c r="K149" s="40"/>
      <c r="L149" s="40"/>
      <c r="M149" s="40"/>
      <c r="N149" s="40"/>
      <c r="O149" s="40"/>
      <c r="P149" s="40"/>
      <c r="Q149" s="40"/>
      <c r="R149" s="40"/>
    </row>
    <row r="150" spans="2:18" s="1" customFormat="1" ht="15" thickBot="1">
      <c r="B150" s="628"/>
      <c r="C150" s="40"/>
      <c r="D150" s="40" t="s">
        <v>36</v>
      </c>
      <c r="E150" s="40"/>
      <c r="F150" s="40"/>
      <c r="G150" s="40"/>
      <c r="H150" s="40"/>
      <c r="I150" s="40"/>
      <c r="J150" s="75">
        <f>'Simular IRS 2012'!I41</f>
        <v>0</v>
      </c>
      <c r="K150" s="75">
        <f>'Simular IRS 2012'!I41</f>
        <v>0</v>
      </c>
      <c r="L150" s="40"/>
      <c r="M150" s="40"/>
      <c r="N150" s="40"/>
      <c r="O150" s="40"/>
      <c r="P150" s="40"/>
      <c r="Q150" s="40"/>
      <c r="R150" s="40"/>
    </row>
    <row r="151" spans="2:18" s="1" customFormat="1" ht="19.5" customHeight="1" thickBot="1">
      <c r="B151" s="40"/>
      <c r="C151" s="40"/>
      <c r="D151" s="40"/>
      <c r="E151" s="40"/>
      <c r="F151" s="40"/>
      <c r="G151" s="40"/>
      <c r="H151" s="40"/>
      <c r="I151" s="40"/>
      <c r="J151" s="40"/>
      <c r="K151" s="40"/>
      <c r="L151" s="40"/>
      <c r="M151" s="40"/>
      <c r="N151" s="40"/>
      <c r="O151" s="40"/>
      <c r="P151" s="40"/>
      <c r="Q151" s="40"/>
      <c r="R151" s="40"/>
    </row>
    <row r="152" spans="2:18" s="1" customFormat="1" ht="14.25" customHeight="1">
      <c r="B152" s="626" t="s">
        <v>59</v>
      </c>
      <c r="C152" s="40"/>
      <c r="D152" s="97" t="s">
        <v>39</v>
      </c>
      <c r="E152" s="40"/>
      <c r="F152" s="40"/>
      <c r="G152" s="40"/>
      <c r="H152" s="40"/>
      <c r="I152" s="40"/>
      <c r="J152" s="40"/>
      <c r="K152" s="40"/>
      <c r="L152" s="40"/>
      <c r="M152" s="40"/>
      <c r="N152" s="40"/>
      <c r="O152" s="40"/>
      <c r="P152" s="40"/>
      <c r="Q152" s="40"/>
      <c r="R152" s="40"/>
    </row>
    <row r="153" spans="2:18" s="1" customFormat="1" ht="14.25">
      <c r="B153" s="627"/>
      <c r="C153" s="40"/>
      <c r="D153" s="40" t="s">
        <v>64</v>
      </c>
      <c r="E153" s="40"/>
      <c r="F153" s="40"/>
      <c r="G153" s="40"/>
      <c r="H153" s="40"/>
      <c r="I153" s="40"/>
      <c r="J153" s="75">
        <f>'Simular IRS 2012'!L37*0.2</f>
        <v>0</v>
      </c>
      <c r="K153" s="75">
        <f>'Simular IRS 2012'!L37*0.2</f>
        <v>0</v>
      </c>
      <c r="L153" s="40"/>
      <c r="M153" s="40"/>
      <c r="N153" s="40"/>
      <c r="O153" s="40"/>
      <c r="P153" s="40"/>
      <c r="Q153" s="40"/>
      <c r="R153" s="40"/>
    </row>
    <row r="154" spans="2:18" s="1" customFormat="1" ht="14.25">
      <c r="B154" s="627"/>
      <c r="C154" s="40"/>
      <c r="D154" s="40" t="s">
        <v>65</v>
      </c>
      <c r="E154" s="40"/>
      <c r="F154" s="40"/>
      <c r="G154" s="40"/>
      <c r="H154" s="40"/>
      <c r="I154" s="40"/>
      <c r="J154" s="75">
        <f>'Simular IRS 2012'!L39*0.7</f>
        <v>0</v>
      </c>
      <c r="K154" s="75">
        <f>'Simular IRS 2012'!L39*0.7</f>
        <v>0</v>
      </c>
      <c r="L154" s="40"/>
      <c r="M154" s="40"/>
      <c r="N154" s="40"/>
      <c r="O154" s="40"/>
      <c r="P154" s="40"/>
      <c r="Q154" s="40"/>
      <c r="R154" s="40"/>
    </row>
    <row r="155" spans="2:18" s="1" customFormat="1" ht="8.25" customHeight="1">
      <c r="B155" s="627"/>
      <c r="C155" s="40"/>
      <c r="D155" s="40"/>
      <c r="E155" s="40"/>
      <c r="F155" s="40"/>
      <c r="G155" s="40"/>
      <c r="H155" s="40"/>
      <c r="I155" s="40"/>
      <c r="J155" s="99"/>
      <c r="K155" s="40"/>
      <c r="L155" s="40"/>
      <c r="M155" s="40"/>
      <c r="N155" s="40"/>
      <c r="O155" s="40"/>
      <c r="P155" s="40"/>
      <c r="Q155" s="40"/>
      <c r="R155" s="40"/>
    </row>
    <row r="156" spans="2:18" s="1" customFormat="1" ht="14.25">
      <c r="B156" s="627"/>
      <c r="C156" s="40"/>
      <c r="D156" s="97" t="s">
        <v>38</v>
      </c>
      <c r="E156" s="40"/>
      <c r="F156" s="40"/>
      <c r="G156" s="40"/>
      <c r="H156" s="40"/>
      <c r="I156" s="40"/>
      <c r="J156" s="40"/>
      <c r="K156" s="40"/>
      <c r="L156" s="40"/>
      <c r="M156" s="40"/>
      <c r="N156" s="40"/>
      <c r="O156" s="40"/>
      <c r="P156" s="40"/>
      <c r="Q156" s="40"/>
      <c r="R156" s="40"/>
    </row>
    <row r="157" spans="2:18" s="1" customFormat="1" ht="15" thickBot="1">
      <c r="B157" s="628"/>
      <c r="C157" s="40"/>
      <c r="D157" s="40" t="s">
        <v>36</v>
      </c>
      <c r="E157" s="40"/>
      <c r="F157" s="40"/>
      <c r="G157" s="40"/>
      <c r="H157" s="40"/>
      <c r="I157" s="40"/>
      <c r="J157" s="75">
        <f>'Simular IRS 2012'!L41</f>
        <v>0</v>
      </c>
      <c r="K157" s="75">
        <f>'Simular IRS 2012'!L41</f>
        <v>0</v>
      </c>
      <c r="L157" s="40"/>
      <c r="M157" s="40"/>
      <c r="N157" s="40"/>
      <c r="O157" s="40"/>
      <c r="P157" s="40"/>
      <c r="Q157" s="40"/>
      <c r="R157" s="40"/>
    </row>
    <row r="158" spans="2:18" s="1" customFormat="1" ht="15" thickBot="1">
      <c r="B158" s="40"/>
      <c r="C158" s="40"/>
      <c r="D158" s="40"/>
      <c r="E158" s="40"/>
      <c r="F158" s="40"/>
      <c r="G158" s="40"/>
      <c r="H158" s="40"/>
      <c r="I158" s="40"/>
      <c r="J158" s="40"/>
      <c r="K158" s="40"/>
      <c r="L158" s="40"/>
      <c r="M158" s="40"/>
      <c r="N158" s="40"/>
      <c r="O158" s="40"/>
      <c r="P158" s="40"/>
      <c r="Q158" s="40"/>
      <c r="R158" s="40"/>
    </row>
    <row r="159" spans="2:18" s="1" customFormat="1" ht="15" thickBot="1">
      <c r="B159" s="50" t="s">
        <v>45</v>
      </c>
      <c r="C159" s="50"/>
      <c r="D159" s="51" t="s">
        <v>46</v>
      </c>
      <c r="E159" s="50"/>
      <c r="F159" s="50"/>
      <c r="G159" s="50"/>
      <c r="H159" s="50"/>
      <c r="I159" s="50"/>
      <c r="J159" s="100">
        <f>SUM($J$145:$J$157)</f>
        <v>0</v>
      </c>
      <c r="K159" s="101">
        <f>SUM(K146:K157)</f>
        <v>0</v>
      </c>
      <c r="L159" s="40"/>
      <c r="M159" s="40"/>
      <c r="N159" s="40"/>
      <c r="O159" s="40"/>
      <c r="P159" s="40"/>
      <c r="Q159" s="40"/>
      <c r="R159" s="40"/>
    </row>
    <row r="160" spans="2:18" s="1" customFormat="1" ht="14.25">
      <c r="B160" s="40"/>
      <c r="C160" s="40"/>
      <c r="D160" s="40"/>
      <c r="E160" s="40"/>
      <c r="F160" s="40"/>
      <c r="G160" s="40"/>
      <c r="H160" s="40"/>
      <c r="I160" s="40"/>
      <c r="J160" s="40"/>
      <c r="K160" s="40"/>
      <c r="L160" s="40"/>
      <c r="M160" s="40"/>
      <c r="N160" s="40"/>
      <c r="O160" s="40"/>
      <c r="P160" s="40"/>
      <c r="Q160" s="40"/>
      <c r="R160" s="40"/>
    </row>
    <row r="161" spans="2:18" s="1" customFormat="1" ht="15" thickBot="1">
      <c r="B161" s="40"/>
      <c r="C161" s="40"/>
      <c r="D161" s="40"/>
      <c r="E161" s="40"/>
      <c r="F161" s="40"/>
      <c r="G161" s="40"/>
      <c r="H161" s="40"/>
      <c r="I161" s="40"/>
      <c r="J161" s="40"/>
      <c r="K161" s="40"/>
      <c r="L161" s="40"/>
      <c r="M161" s="40"/>
      <c r="N161" s="40"/>
      <c r="O161" s="40"/>
      <c r="P161" s="40"/>
      <c r="Q161" s="40"/>
      <c r="R161" s="40"/>
    </row>
    <row r="162" spans="2:18" s="1" customFormat="1" ht="15" thickBot="1">
      <c r="B162" s="68" t="s">
        <v>4</v>
      </c>
      <c r="C162" s="69"/>
      <c r="D162" s="94"/>
      <c r="E162" s="40"/>
      <c r="F162" s="40"/>
      <c r="G162" s="40"/>
      <c r="H162" s="40"/>
      <c r="I162" s="40"/>
      <c r="L162" s="40"/>
      <c r="M162" s="40"/>
      <c r="N162" s="40"/>
      <c r="O162" s="40"/>
      <c r="P162" s="40"/>
      <c r="Q162" s="40"/>
      <c r="R162" s="40"/>
    </row>
    <row r="163" spans="2:18" s="1" customFormat="1" ht="15" thickBot="1">
      <c r="B163" s="40"/>
      <c r="C163" s="40"/>
      <c r="D163" s="40"/>
      <c r="E163" s="40"/>
      <c r="F163" s="40"/>
      <c r="G163" s="40"/>
      <c r="H163" s="40"/>
      <c r="I163" s="40"/>
      <c r="J163" s="102">
        <v>2011</v>
      </c>
      <c r="K163" s="102">
        <v>2012</v>
      </c>
      <c r="L163" s="40"/>
      <c r="M163" s="40"/>
      <c r="N163" s="40"/>
      <c r="O163" s="40"/>
      <c r="P163" s="40"/>
      <c r="Q163" s="40"/>
      <c r="R163" s="40"/>
    </row>
    <row r="164" spans="2:18" s="1" customFormat="1" ht="16.5" customHeight="1">
      <c r="B164" s="617" t="s">
        <v>66</v>
      </c>
      <c r="C164" s="40"/>
      <c r="D164" s="40" t="s">
        <v>79</v>
      </c>
      <c r="E164" s="40"/>
      <c r="F164" s="40"/>
      <c r="G164" s="40"/>
      <c r="H164" s="40"/>
      <c r="I164" s="40"/>
      <c r="J164" s="103">
        <f>'Simular IRS 2012'!I47+'Simular IRS 2012'!L47</f>
        <v>0</v>
      </c>
      <c r="K164" s="104">
        <f>'Simular IRS 2012'!I47+'Simular IRS 2012'!L47</f>
        <v>0</v>
      </c>
      <c r="L164" s="40"/>
      <c r="M164" s="40"/>
      <c r="N164" s="40"/>
      <c r="O164" s="40"/>
      <c r="P164" s="40"/>
      <c r="Q164" s="40"/>
      <c r="R164" s="40"/>
    </row>
    <row r="165" spans="2:18" s="1" customFormat="1" ht="18" customHeight="1" thickBot="1">
      <c r="B165" s="618"/>
      <c r="C165" s="40"/>
      <c r="D165" s="40" t="s">
        <v>80</v>
      </c>
      <c r="E165" s="40"/>
      <c r="F165" s="40"/>
      <c r="G165" s="40"/>
      <c r="H165" s="40"/>
      <c r="I165" s="40"/>
      <c r="J165" s="105">
        <f>'Simular IRS 2012'!I49+'Simular IRS 2012'!L49</f>
        <v>0</v>
      </c>
      <c r="K165" s="98">
        <f>'Simular IRS 2012'!I49+'Simular IRS 2012'!L49</f>
        <v>0</v>
      </c>
      <c r="L165" s="40"/>
      <c r="M165" s="40"/>
      <c r="N165" s="40"/>
      <c r="O165" s="40"/>
      <c r="P165" s="40"/>
      <c r="Q165" s="40"/>
      <c r="R165" s="40"/>
    </row>
    <row r="166" spans="1:18" s="1" customFormat="1" ht="14.25">
      <c r="A166" s="29"/>
      <c r="B166" s="106"/>
      <c r="C166" s="107"/>
      <c r="D166" s="29"/>
      <c r="E166" s="29"/>
      <c r="F166" s="29"/>
      <c r="G166" s="29"/>
      <c r="H166" s="29"/>
      <c r="I166" s="29"/>
      <c r="J166" s="29"/>
      <c r="K166" s="29"/>
      <c r="L166" s="107"/>
      <c r="M166" s="107"/>
      <c r="N166" s="107"/>
      <c r="O166" s="107"/>
      <c r="P166" s="107"/>
      <c r="Q166" s="107"/>
      <c r="R166" s="107"/>
    </row>
    <row r="167" spans="2:18" s="1" customFormat="1" ht="15" thickBot="1">
      <c r="B167" s="40"/>
      <c r="C167" s="40"/>
      <c r="D167" s="40"/>
      <c r="E167" s="40"/>
      <c r="F167" s="40"/>
      <c r="G167" s="40"/>
      <c r="H167" s="40"/>
      <c r="I167" s="40"/>
      <c r="J167" s="40"/>
      <c r="K167" s="40"/>
      <c r="L167" s="40"/>
      <c r="M167" s="40"/>
      <c r="N167" s="40"/>
      <c r="O167" s="40"/>
      <c r="P167" s="40"/>
      <c r="Q167" s="40"/>
      <c r="R167" s="40"/>
    </row>
    <row r="168" spans="2:18" s="1" customFormat="1" ht="15" thickBot="1">
      <c r="B168" s="108" t="s">
        <v>5</v>
      </c>
      <c r="C168" s="94"/>
      <c r="D168" s="40"/>
      <c r="E168" s="40"/>
      <c r="F168" s="40"/>
      <c r="G168" s="40"/>
      <c r="H168" s="40"/>
      <c r="I168" s="40"/>
      <c r="L168" s="40"/>
      <c r="M168" s="40"/>
      <c r="N168" s="40"/>
      <c r="O168" s="40"/>
      <c r="P168" s="40"/>
      <c r="Q168" s="40"/>
      <c r="R168" s="40"/>
    </row>
    <row r="169" spans="2:18" s="1" customFormat="1" ht="15" thickBot="1">
      <c r="B169" s="40"/>
      <c r="C169" s="40"/>
      <c r="D169" s="40"/>
      <c r="E169" s="40"/>
      <c r="F169" s="40"/>
      <c r="G169" s="40"/>
      <c r="H169" s="40"/>
      <c r="I169" s="40"/>
      <c r="J169" s="95">
        <v>2011</v>
      </c>
      <c r="K169" s="95">
        <v>2012</v>
      </c>
      <c r="L169" s="40"/>
      <c r="M169" s="40"/>
      <c r="N169" s="40"/>
      <c r="O169" s="40"/>
      <c r="P169" s="40"/>
      <c r="Q169" s="40"/>
      <c r="R169" s="40"/>
    </row>
    <row r="170" spans="2:18" s="1" customFormat="1" ht="21.75" customHeight="1">
      <c r="B170" s="617" t="s">
        <v>58</v>
      </c>
      <c r="C170" s="40"/>
      <c r="D170" s="97" t="s">
        <v>48</v>
      </c>
      <c r="E170" s="97"/>
      <c r="F170" s="97"/>
      <c r="G170" s="97"/>
      <c r="H170" s="97"/>
      <c r="I170" s="97"/>
      <c r="J170" s="75">
        <f>'Simular IRS 2012'!I55</f>
        <v>0</v>
      </c>
      <c r="K170" s="109">
        <f>'Simular IRS 2012'!I55</f>
        <v>0</v>
      </c>
      <c r="L170" s="40"/>
      <c r="M170" s="40"/>
      <c r="N170" s="40"/>
      <c r="O170" s="40"/>
      <c r="P170" s="40"/>
      <c r="Q170" s="40"/>
      <c r="R170" s="40"/>
    </row>
    <row r="171" spans="2:18" s="1" customFormat="1" ht="21.75" customHeight="1" thickBot="1">
      <c r="B171" s="618"/>
      <c r="C171" s="40"/>
      <c r="D171" s="97" t="s">
        <v>44</v>
      </c>
      <c r="E171" s="97"/>
      <c r="F171" s="97"/>
      <c r="G171" s="97"/>
      <c r="H171" s="97"/>
      <c r="I171" s="97"/>
      <c r="J171" s="75">
        <f>IF(J170&lt;=H183,J170,IF(AND(J170&gt;H183,J170&lt;H184),H183,IF((H183-(J170-H184)*H182)&gt;0,(H183-(J170-H184)*H182),0)))</f>
        <v>0</v>
      </c>
      <c r="K171" s="110">
        <f>IF(K170&lt;=I183,K170,IF(AND(K170&gt;I183,K170&lt;I184),I183,IF((I183-(K170-I184)*I182)&gt;0,(I183-(K170-I184)*I182),0)))</f>
        <v>0</v>
      </c>
      <c r="L171" s="40"/>
      <c r="M171" s="40"/>
      <c r="N171" s="40"/>
      <c r="O171" s="40"/>
      <c r="P171" s="40"/>
      <c r="Q171" s="40"/>
      <c r="R171" s="40"/>
    </row>
    <row r="172" spans="2:18" s="1" customFormat="1" ht="15" thickBot="1">
      <c r="B172" s="40"/>
      <c r="C172" s="40"/>
      <c r="D172" s="40"/>
      <c r="E172" s="40"/>
      <c r="F172" s="40"/>
      <c r="G172" s="40"/>
      <c r="H172" s="40"/>
      <c r="I172" s="40"/>
      <c r="J172" s="111"/>
      <c r="K172" s="40"/>
      <c r="L172" s="40"/>
      <c r="M172" s="40"/>
      <c r="N172" s="40"/>
      <c r="O172" s="40"/>
      <c r="P172" s="40"/>
      <c r="Q172" s="40"/>
      <c r="R172" s="40"/>
    </row>
    <row r="173" spans="2:18" s="1" customFormat="1" ht="22.5" customHeight="1">
      <c r="B173" s="617" t="s">
        <v>59</v>
      </c>
      <c r="C173" s="40"/>
      <c r="D173" s="97" t="s">
        <v>67</v>
      </c>
      <c r="E173" s="97"/>
      <c r="F173" s="97"/>
      <c r="G173" s="97"/>
      <c r="H173" s="97"/>
      <c r="I173" s="97"/>
      <c r="J173" s="75">
        <f>'Simular IRS 2012'!L55</f>
        <v>0</v>
      </c>
      <c r="K173" s="112">
        <f>'Simular IRS 2012'!L55</f>
        <v>0</v>
      </c>
      <c r="L173" s="40"/>
      <c r="M173" s="40"/>
      <c r="N173" s="40"/>
      <c r="O173" s="40"/>
      <c r="P173" s="40"/>
      <c r="Q173" s="40"/>
      <c r="R173" s="40"/>
    </row>
    <row r="174" spans="2:18" s="1" customFormat="1" ht="22.5" customHeight="1" thickBot="1">
      <c r="B174" s="618"/>
      <c r="C174" s="40"/>
      <c r="D174" s="97" t="s">
        <v>44</v>
      </c>
      <c r="E174" s="97"/>
      <c r="F174" s="97"/>
      <c r="G174" s="97"/>
      <c r="H174" s="97"/>
      <c r="I174" s="97"/>
      <c r="J174" s="75">
        <f>IF((J173)&lt;=H183,J173,IF(AND((H183&lt;J173),(J173&lt;=H184)),H183,IF((J173)&gt;H183,IF((H183-((J173)-H183)*H182)&gt;0,H183-((J173)-H184)*H182,0))))</f>
        <v>0</v>
      </c>
      <c r="K174" s="112">
        <f>IF(K173&lt;=I183,K173,IF(AND(K173&gt;I183,K173&lt;I184),I183,IF((I183-(K173-I184)*I182)&gt;0,(I183-(K173-I184)*I182),0)))</f>
        <v>0</v>
      </c>
      <c r="L174" s="40"/>
      <c r="M174" s="40"/>
      <c r="N174" s="40"/>
      <c r="O174" s="40"/>
      <c r="P174" s="40"/>
      <c r="Q174" s="40"/>
      <c r="R174" s="40"/>
    </row>
    <row r="175" spans="2:18" s="1" customFormat="1" ht="14.25">
      <c r="B175" s="40"/>
      <c r="C175" s="40"/>
      <c r="D175" s="40"/>
      <c r="E175" s="40"/>
      <c r="F175" s="40"/>
      <c r="G175" s="40"/>
      <c r="H175" s="40"/>
      <c r="I175" s="40"/>
      <c r="J175" s="40"/>
      <c r="K175" s="40"/>
      <c r="L175" s="40"/>
      <c r="M175" s="40"/>
      <c r="N175" s="40"/>
      <c r="O175" s="40"/>
      <c r="P175" s="40"/>
      <c r="Q175" s="40"/>
      <c r="R175" s="40"/>
    </row>
    <row r="176" spans="2:18" s="1" customFormat="1" ht="14.25">
      <c r="B176" s="50" t="s">
        <v>47</v>
      </c>
      <c r="C176" s="50"/>
      <c r="D176" s="51" t="s">
        <v>51</v>
      </c>
      <c r="E176" s="50"/>
      <c r="F176" s="50"/>
      <c r="G176" s="50"/>
      <c r="H176" s="50"/>
      <c r="I176" s="50"/>
      <c r="J176" s="80">
        <f>$J$173+$J$170</f>
        <v>0</v>
      </c>
      <c r="K176" s="113">
        <f>K170+K173</f>
        <v>0</v>
      </c>
      <c r="L176" s="40"/>
      <c r="M176" s="40"/>
      <c r="N176" s="40"/>
      <c r="O176" s="40"/>
      <c r="P176" s="40"/>
      <c r="Q176" s="40"/>
      <c r="R176" s="40"/>
    </row>
    <row r="177" spans="2:18" s="1" customFormat="1" ht="14.25">
      <c r="B177" s="50"/>
      <c r="C177" s="50"/>
      <c r="D177" s="51"/>
      <c r="E177" s="50"/>
      <c r="F177" s="50"/>
      <c r="G177" s="50"/>
      <c r="H177" s="50"/>
      <c r="I177" s="50"/>
      <c r="J177" s="82"/>
      <c r="K177" s="50"/>
      <c r="L177" s="40"/>
      <c r="M177" s="40"/>
      <c r="N177" s="40"/>
      <c r="O177" s="40"/>
      <c r="P177" s="40"/>
      <c r="Q177" s="40"/>
      <c r="R177" s="40"/>
    </row>
    <row r="178" spans="2:18" s="1" customFormat="1" ht="14.25">
      <c r="B178" s="50" t="s">
        <v>47</v>
      </c>
      <c r="C178" s="50"/>
      <c r="D178" s="51" t="s">
        <v>52</v>
      </c>
      <c r="E178" s="50"/>
      <c r="F178" s="50"/>
      <c r="G178" s="50"/>
      <c r="H178" s="50"/>
      <c r="I178" s="50"/>
      <c r="J178" s="80">
        <f>$J$171+$J$174</f>
        <v>0</v>
      </c>
      <c r="K178" s="113">
        <f>K171+K174</f>
        <v>0</v>
      </c>
      <c r="L178" s="40"/>
      <c r="M178" s="40"/>
      <c r="N178" s="40"/>
      <c r="O178" s="40"/>
      <c r="P178" s="40"/>
      <c r="Q178" s="40"/>
      <c r="R178" s="40"/>
    </row>
    <row r="179" spans="2:18" s="1" customFormat="1" ht="14.25">
      <c r="B179" s="40"/>
      <c r="C179" s="40"/>
      <c r="D179" s="40"/>
      <c r="E179" s="40"/>
      <c r="F179" s="40"/>
      <c r="G179" s="40"/>
      <c r="H179" s="40"/>
      <c r="I179" s="40"/>
      <c r="J179" s="40"/>
      <c r="K179" s="40"/>
      <c r="L179" s="40"/>
      <c r="M179" s="40"/>
      <c r="N179" s="40"/>
      <c r="O179" s="40"/>
      <c r="P179" s="40"/>
      <c r="Q179" s="40"/>
      <c r="R179" s="40"/>
    </row>
    <row r="180" spans="2:18" s="1" customFormat="1" ht="14.25">
      <c r="B180" s="40"/>
      <c r="C180" s="40"/>
      <c r="D180" s="114" t="s">
        <v>119</v>
      </c>
      <c r="E180" s="85"/>
      <c r="F180" s="85"/>
      <c r="G180" s="85"/>
      <c r="H180" s="85"/>
      <c r="I180" s="85"/>
      <c r="J180" s="85"/>
      <c r="K180" s="40"/>
      <c r="L180" s="40"/>
      <c r="M180" s="40"/>
      <c r="N180" s="40"/>
      <c r="O180" s="40"/>
      <c r="P180" s="40"/>
      <c r="Q180" s="40"/>
      <c r="R180" s="40"/>
    </row>
    <row r="181" spans="2:18" s="1" customFormat="1" ht="14.25">
      <c r="B181" s="40"/>
      <c r="C181" s="40"/>
      <c r="D181" s="85"/>
      <c r="E181" s="85"/>
      <c r="F181" s="85"/>
      <c r="G181" s="85"/>
      <c r="H181" s="115">
        <v>2011</v>
      </c>
      <c r="I181" s="116">
        <v>2012</v>
      </c>
      <c r="J181" s="85"/>
      <c r="K181" s="40"/>
      <c r="L181" s="40"/>
      <c r="M181" s="40"/>
      <c r="N181" s="40"/>
      <c r="O181" s="40"/>
      <c r="P181" s="40"/>
      <c r="Q181" s="40"/>
      <c r="R181" s="40"/>
    </row>
    <row r="182" spans="2:18" s="1" customFormat="1" ht="14.25">
      <c r="B182" s="40"/>
      <c r="C182" s="40"/>
      <c r="D182" s="278" t="s">
        <v>123</v>
      </c>
      <c r="E182" s="278"/>
      <c r="F182" s="278"/>
      <c r="G182" s="278"/>
      <c r="H182" s="279">
        <v>0.2</v>
      </c>
      <c r="I182" s="280">
        <v>0.2</v>
      </c>
      <c r="J182" s="118"/>
      <c r="L182" s="40"/>
      <c r="M182" s="40"/>
      <c r="N182" s="40"/>
      <c r="O182" s="40"/>
      <c r="P182" s="40"/>
      <c r="Q182" s="40"/>
      <c r="R182" s="40"/>
    </row>
    <row r="183" spans="2:18" s="1" customFormat="1" ht="14.25">
      <c r="B183" s="40"/>
      <c r="C183" s="40"/>
      <c r="D183" s="278" t="s">
        <v>49</v>
      </c>
      <c r="E183" s="278"/>
      <c r="F183" s="278"/>
      <c r="G183" s="278"/>
      <c r="H183" s="281">
        <v>6000</v>
      </c>
      <c r="I183" s="282">
        <f>12*G139*G140</f>
        <v>4104</v>
      </c>
      <c r="J183" s="118"/>
      <c r="L183" s="40"/>
      <c r="M183" s="40"/>
      <c r="N183" s="40"/>
      <c r="O183" s="40"/>
      <c r="P183" s="40"/>
      <c r="Q183" s="40"/>
      <c r="R183" s="40"/>
    </row>
    <row r="184" spans="2:18" s="1" customFormat="1" ht="14.25">
      <c r="B184" s="40"/>
      <c r="C184" s="40"/>
      <c r="D184" s="278" t="s">
        <v>50</v>
      </c>
      <c r="E184" s="278"/>
      <c r="F184" s="278"/>
      <c r="G184" s="278"/>
      <c r="H184" s="281">
        <v>22500</v>
      </c>
      <c r="I184" s="282">
        <v>22500</v>
      </c>
      <c r="J184" s="118"/>
      <c r="L184" s="40"/>
      <c r="M184" s="40"/>
      <c r="N184" s="40"/>
      <c r="O184" s="40"/>
      <c r="P184" s="40"/>
      <c r="Q184" s="40"/>
      <c r="R184" s="40"/>
    </row>
    <row r="185" spans="2:18" s="1" customFormat="1" ht="14.25">
      <c r="B185" s="40"/>
      <c r="C185" s="40"/>
      <c r="D185" s="117"/>
      <c r="E185" s="117"/>
      <c r="F185" s="117"/>
      <c r="G185" s="117"/>
      <c r="H185" s="119"/>
      <c r="I185" s="119"/>
      <c r="J185" s="118"/>
      <c r="L185" s="40"/>
      <c r="M185" s="40"/>
      <c r="N185" s="40"/>
      <c r="O185" s="40"/>
      <c r="P185" s="40"/>
      <c r="Q185" s="40"/>
      <c r="R185" s="40"/>
    </row>
    <row r="186" spans="2:18" s="1" customFormat="1" ht="14.25" collapsed="1">
      <c r="B186" s="40"/>
      <c r="C186" s="40"/>
      <c r="D186" s="40"/>
      <c r="E186" s="40"/>
      <c r="F186" s="40"/>
      <c r="G186" s="40"/>
      <c r="H186" s="40"/>
      <c r="I186" s="40"/>
      <c r="J186" s="40"/>
      <c r="K186" s="40"/>
      <c r="L186" s="40"/>
      <c r="M186" s="40"/>
      <c r="N186" s="40"/>
      <c r="O186" s="40"/>
      <c r="P186" s="40"/>
      <c r="Q186" s="40"/>
      <c r="R186" s="40"/>
    </row>
    <row r="187" spans="2:18" s="1" customFormat="1" ht="15" thickBot="1">
      <c r="B187" s="40"/>
      <c r="C187" s="40"/>
      <c r="D187" s="40"/>
      <c r="E187" s="40"/>
      <c r="F187" s="40"/>
      <c r="G187" s="40"/>
      <c r="H187" s="40"/>
      <c r="L187" s="40"/>
      <c r="M187" s="40"/>
      <c r="N187" s="40"/>
      <c r="O187" s="40"/>
      <c r="P187" s="40"/>
      <c r="Q187" s="40"/>
      <c r="R187" s="40"/>
    </row>
    <row r="188" spans="2:18" s="1" customFormat="1" ht="15" thickBot="1">
      <c r="B188" s="591" t="s">
        <v>62</v>
      </c>
      <c r="C188" s="592"/>
      <c r="D188" s="593"/>
      <c r="E188" s="40"/>
      <c r="F188" s="40"/>
      <c r="G188" s="40"/>
      <c r="H188" s="40"/>
      <c r="L188" s="40"/>
      <c r="M188" s="40"/>
      <c r="N188" s="40"/>
      <c r="O188" s="40"/>
      <c r="P188" s="40"/>
      <c r="Q188" s="40"/>
      <c r="R188" s="40"/>
    </row>
    <row r="189" spans="2:18" s="1" customFormat="1" ht="14.25">
      <c r="B189" s="50"/>
      <c r="C189" s="40"/>
      <c r="D189" s="40"/>
      <c r="E189" s="40"/>
      <c r="F189" s="40"/>
      <c r="G189" s="40"/>
      <c r="H189" s="40"/>
      <c r="L189" s="40"/>
      <c r="M189" s="40"/>
      <c r="N189" s="40"/>
      <c r="O189" s="40"/>
      <c r="P189" s="40"/>
      <c r="Q189" s="40"/>
      <c r="R189" s="40"/>
    </row>
    <row r="190" spans="2:18" s="1" customFormat="1" ht="14.25">
      <c r="B190" s="586" t="s">
        <v>29</v>
      </c>
      <c r="C190" s="586"/>
      <c r="D190" s="586"/>
      <c r="E190" s="40"/>
      <c r="F190" s="40"/>
      <c r="G190" s="40"/>
      <c r="H190" s="40"/>
      <c r="L190" s="40"/>
      <c r="M190" s="40"/>
      <c r="N190" s="40"/>
      <c r="O190" s="40"/>
      <c r="P190" s="40"/>
      <c r="Q190" s="40"/>
      <c r="R190" s="40"/>
    </row>
    <row r="191" spans="2:18" s="1" customFormat="1" ht="14.25">
      <c r="B191" s="40"/>
      <c r="C191" s="40"/>
      <c r="D191" s="40"/>
      <c r="E191" s="40"/>
      <c r="I191" s="120" t="s">
        <v>112</v>
      </c>
      <c r="J191" s="45"/>
      <c r="K191" s="40"/>
      <c r="M191" s="40"/>
      <c r="O191" s="40"/>
      <c r="P191" s="40"/>
      <c r="Q191" s="40"/>
      <c r="R191" s="40"/>
    </row>
    <row r="192" spans="2:18" s="1" customFormat="1" ht="15" thickBot="1">
      <c r="B192" s="40"/>
      <c r="C192" s="40"/>
      <c r="F192" s="72">
        <v>2011</v>
      </c>
      <c r="G192" s="72">
        <v>2012</v>
      </c>
      <c r="H192" s="79"/>
      <c r="I192" s="45" t="s">
        <v>104</v>
      </c>
      <c r="J192" s="45" t="str">
        <f>K403</f>
        <v>Casado / Unido de Facto</v>
      </c>
      <c r="K192" s="40"/>
      <c r="M192" s="40"/>
      <c r="O192" s="40"/>
      <c r="P192" s="40"/>
      <c r="Q192" s="40"/>
      <c r="R192" s="40"/>
    </row>
    <row r="193" spans="2:18" s="1" customFormat="1" ht="15" thickBot="1">
      <c r="B193" s="40"/>
      <c r="C193" s="40"/>
      <c r="D193" s="619" t="s">
        <v>145</v>
      </c>
      <c r="E193" s="620"/>
      <c r="F193" s="121">
        <f>IF(F68=1,(F196*F200*2)+(F70*F199*F200)+(F69*F198*F200),IF(F68=2,(F196*F200)+(F70*F199*F200)+(F69*F198*F200),IF(AND(F68=0,F71&gt;0),(F197*F200)+(F70*F199*F200)+(F69*F198*F200),(F196*F200))))</f>
        <v>522.5</v>
      </c>
      <c r="G193" s="288">
        <f>IF(F68=1,(G196*G200*2)+(F70*G199*G200)+(F69*G198*G200),IF(F68=2,(G196*G200)+(F70*G199*G200)+(F69*G198*G200),IF(AND(F68=0,F71&gt;0),(G197*G200)+(F70*G199*G200)+(F69*G198*G200),(G196*G200))))</f>
        <v>522.5</v>
      </c>
      <c r="H193" s="79"/>
      <c r="I193" s="45" t="s">
        <v>104</v>
      </c>
      <c r="J193" s="272">
        <f>K404</f>
        <v>1</v>
      </c>
      <c r="K193" s="40"/>
      <c r="M193" s="40"/>
      <c r="O193" s="40"/>
      <c r="P193" s="40"/>
      <c r="Q193" s="40"/>
      <c r="R193" s="40"/>
    </row>
    <row r="194" spans="2:18" s="1" customFormat="1" ht="14.25">
      <c r="B194" s="40"/>
      <c r="C194" s="40"/>
      <c r="G194" s="40"/>
      <c r="H194" s="79"/>
      <c r="I194" s="45" t="s">
        <v>114</v>
      </c>
      <c r="J194" s="272">
        <f>K410+0</f>
        <v>0</v>
      </c>
      <c r="K194" s="40"/>
      <c r="M194" s="40"/>
      <c r="O194" s="40"/>
      <c r="P194" s="40"/>
      <c r="Q194" s="40"/>
      <c r="R194" s="40"/>
    </row>
    <row r="195" spans="2:18" s="1" customFormat="1" ht="14.25">
      <c r="B195" s="40"/>
      <c r="C195" s="85"/>
      <c r="D195" s="123" t="s">
        <v>119</v>
      </c>
      <c r="E195" s="118"/>
      <c r="F195" s="124">
        <v>2011</v>
      </c>
      <c r="G195" s="124">
        <v>2012</v>
      </c>
      <c r="H195" s="117"/>
      <c r="I195" s="45" t="s">
        <v>113</v>
      </c>
      <c r="J195" s="272">
        <f>K411+0</f>
        <v>0</v>
      </c>
      <c r="K195" s="40"/>
      <c r="M195" s="40"/>
      <c r="O195" s="40"/>
      <c r="P195" s="40"/>
      <c r="Q195" s="40"/>
      <c r="R195" s="40"/>
    </row>
    <row r="196" spans="2:18" s="1" customFormat="1" ht="14.25">
      <c r="B196" s="40"/>
      <c r="C196" s="85"/>
      <c r="D196" s="614" t="s">
        <v>122</v>
      </c>
      <c r="E196" s="615"/>
      <c r="F196" s="125">
        <v>0.55</v>
      </c>
      <c r="G196" s="125">
        <v>0.55</v>
      </c>
      <c r="H196" s="117"/>
      <c r="I196" s="79"/>
      <c r="J196" s="122"/>
      <c r="K196" s="79"/>
      <c r="L196" s="40"/>
      <c r="M196" s="40"/>
      <c r="O196" s="40"/>
      <c r="P196" s="40"/>
      <c r="Q196" s="40"/>
      <c r="R196" s="40"/>
    </row>
    <row r="197" spans="2:18" s="1" customFormat="1" ht="14.25">
      <c r="B197" s="40"/>
      <c r="C197" s="85"/>
      <c r="D197" s="283" t="s">
        <v>175</v>
      </c>
      <c r="E197" s="284"/>
      <c r="F197" s="125">
        <v>0.8</v>
      </c>
      <c r="G197" s="125">
        <v>0.8</v>
      </c>
      <c r="H197" s="117"/>
      <c r="I197" s="79"/>
      <c r="J197" s="122"/>
      <c r="K197" s="79"/>
      <c r="L197" s="40"/>
      <c r="M197" s="40"/>
      <c r="O197" s="40"/>
      <c r="P197" s="40"/>
      <c r="Q197" s="40"/>
      <c r="R197" s="40"/>
    </row>
    <row r="198" spans="2:18" s="1" customFormat="1" ht="14.25">
      <c r="B198" s="40"/>
      <c r="C198" s="85"/>
      <c r="D198" s="610" t="s">
        <v>81</v>
      </c>
      <c r="E198" s="611"/>
      <c r="F198" s="126">
        <v>0.8</v>
      </c>
      <c r="G198" s="126">
        <v>0.8</v>
      </c>
      <c r="H198" s="117"/>
      <c r="I198" s="79"/>
      <c r="J198" s="122"/>
      <c r="K198" s="79"/>
      <c r="L198" s="40"/>
      <c r="M198" s="40"/>
      <c r="O198" s="40"/>
      <c r="P198" s="40"/>
      <c r="Q198" s="40"/>
      <c r="R198" s="40"/>
    </row>
    <row r="199" spans="2:18" s="1" customFormat="1" ht="14.25">
      <c r="B199" s="40"/>
      <c r="C199" s="85"/>
      <c r="D199" s="612" t="s">
        <v>82</v>
      </c>
      <c r="E199" s="613"/>
      <c r="F199" s="126">
        <v>0.4</v>
      </c>
      <c r="G199" s="126">
        <v>0.4</v>
      </c>
      <c r="H199" s="117"/>
      <c r="I199" s="79"/>
      <c r="J199" s="122"/>
      <c r="K199" s="79"/>
      <c r="L199" s="40"/>
      <c r="M199" s="40"/>
      <c r="O199" s="40"/>
      <c r="P199" s="40"/>
      <c r="Q199" s="40"/>
      <c r="R199" s="40"/>
    </row>
    <row r="200" spans="2:18" s="1" customFormat="1" ht="14.25">
      <c r="B200" s="40"/>
      <c r="C200" s="85"/>
      <c r="D200" s="614" t="str">
        <f>C75</f>
        <v>RMMG 2010</v>
      </c>
      <c r="E200" s="615"/>
      <c r="F200" s="127">
        <f>F75</f>
        <v>475</v>
      </c>
      <c r="G200" s="127">
        <f>F75</f>
        <v>475</v>
      </c>
      <c r="H200" s="117"/>
      <c r="I200" s="79"/>
      <c r="J200" s="122"/>
      <c r="K200" s="79"/>
      <c r="L200" s="40"/>
      <c r="M200" s="40"/>
      <c r="O200" s="40"/>
      <c r="P200" s="40"/>
      <c r="Q200" s="40"/>
      <c r="R200" s="40"/>
    </row>
    <row r="201" spans="2:18" s="1" customFormat="1" ht="14.25">
      <c r="B201" s="40"/>
      <c r="C201" s="85"/>
      <c r="D201" s="128"/>
      <c r="E201" s="128"/>
      <c r="F201" s="129"/>
      <c r="G201" s="130"/>
      <c r="H201" s="117"/>
      <c r="I201" s="79"/>
      <c r="J201" s="122"/>
      <c r="K201" s="79"/>
      <c r="L201" s="40"/>
      <c r="M201" s="40"/>
      <c r="O201" s="40"/>
      <c r="P201" s="40"/>
      <c r="Q201" s="40"/>
      <c r="R201" s="40"/>
    </row>
    <row r="202" spans="2:18" s="1" customFormat="1" ht="14.25">
      <c r="B202" s="40"/>
      <c r="C202" s="40"/>
      <c r="D202" s="40"/>
      <c r="E202" s="40"/>
      <c r="F202" s="40"/>
      <c r="G202" s="40"/>
      <c r="H202" s="40"/>
      <c r="I202" s="40"/>
      <c r="J202" s="40"/>
      <c r="K202" s="40"/>
      <c r="L202" s="40"/>
      <c r="M202" s="40"/>
      <c r="N202" s="40"/>
      <c r="O202" s="40"/>
      <c r="P202" s="40"/>
      <c r="Q202" s="40"/>
      <c r="R202" s="40"/>
    </row>
    <row r="203" spans="2:18" s="1" customFormat="1" ht="14.25">
      <c r="B203" s="586" t="s">
        <v>19</v>
      </c>
      <c r="C203" s="586"/>
      <c r="D203" s="586"/>
      <c r="E203" s="40"/>
      <c r="F203" s="40"/>
      <c r="G203" s="40"/>
      <c r="H203" s="40"/>
      <c r="I203" s="40"/>
      <c r="J203" s="40"/>
      <c r="K203" s="40"/>
      <c r="L203" s="40"/>
      <c r="M203" s="40"/>
      <c r="N203" s="40"/>
      <c r="O203" s="40"/>
      <c r="P203" s="40"/>
      <c r="Q203" s="40"/>
      <c r="R203" s="40"/>
    </row>
    <row r="204" spans="2:18" s="1" customFormat="1" ht="14.25">
      <c r="B204" s="40"/>
      <c r="C204" s="40"/>
      <c r="D204" s="40"/>
      <c r="E204" s="40"/>
      <c r="F204" s="40"/>
      <c r="G204" s="40"/>
      <c r="H204" s="40"/>
      <c r="I204" s="40"/>
      <c r="J204" s="72">
        <v>2011</v>
      </c>
      <c r="K204" s="73">
        <v>2012</v>
      </c>
      <c r="L204" s="40"/>
      <c r="M204" s="40"/>
      <c r="N204" s="40"/>
      <c r="O204" s="40"/>
      <c r="P204" s="40"/>
      <c r="Q204" s="40"/>
      <c r="R204" s="40"/>
    </row>
    <row r="205" spans="2:18" s="1" customFormat="1" ht="14.25">
      <c r="B205" s="40"/>
      <c r="C205" s="40"/>
      <c r="D205" s="40"/>
      <c r="E205" s="45" t="s">
        <v>20</v>
      </c>
      <c r="F205" s="45"/>
      <c r="G205" s="45"/>
      <c r="H205" s="40"/>
      <c r="I205" s="40"/>
      <c r="J205" s="105">
        <f>'Simular IRS 2012'!J63+'Simular IRS 2012'!I93</f>
        <v>0</v>
      </c>
      <c r="K205" s="89">
        <f>'Simular IRS 2012'!J63+'Simular IRS 2012'!I93</f>
        <v>0</v>
      </c>
      <c r="L205" s="40"/>
      <c r="M205" s="40"/>
      <c r="N205" s="40"/>
      <c r="O205" s="40"/>
      <c r="P205" s="40"/>
      <c r="Q205" s="40"/>
      <c r="R205" s="40"/>
    </row>
    <row r="206" spans="2:18" s="1" customFormat="1" ht="14.25">
      <c r="B206" s="40"/>
      <c r="C206" s="40"/>
      <c r="D206" s="40"/>
      <c r="E206" s="594" t="s">
        <v>111</v>
      </c>
      <c r="F206" s="594"/>
      <c r="G206" s="45"/>
      <c r="H206" s="40"/>
      <c r="I206" s="40"/>
      <c r="J206" s="131">
        <v>0.3</v>
      </c>
      <c r="K206" s="92">
        <v>0.1</v>
      </c>
      <c r="L206" s="40"/>
      <c r="M206" s="40"/>
      <c r="N206" s="40"/>
      <c r="O206" s="40"/>
      <c r="P206" s="40"/>
      <c r="Q206" s="40"/>
      <c r="R206" s="40"/>
    </row>
    <row r="207" spans="2:18" s="1" customFormat="1" ht="14.25">
      <c r="B207" s="40"/>
      <c r="C207" s="40"/>
      <c r="D207" s="40"/>
      <c r="E207" s="616" t="s">
        <v>22</v>
      </c>
      <c r="F207" s="616"/>
      <c r="G207" s="616"/>
      <c r="H207" s="40"/>
      <c r="I207" s="40"/>
      <c r="J207" s="132" t="s">
        <v>72</v>
      </c>
      <c r="K207" s="89">
        <f>IF(F71&gt;2,2*F77+(0.3*F77*F71),2*F77)</f>
        <v>838.44</v>
      </c>
      <c r="L207" s="40"/>
      <c r="M207" s="40"/>
      <c r="N207" s="40"/>
      <c r="O207" s="40"/>
      <c r="P207" s="40"/>
      <c r="Q207" s="40"/>
      <c r="R207" s="40"/>
    </row>
    <row r="208" spans="2:18" s="1" customFormat="1" ht="15" thickBot="1">
      <c r="B208" s="40"/>
      <c r="C208" s="40"/>
      <c r="D208" s="40"/>
      <c r="E208" s="120" t="s">
        <v>44</v>
      </c>
      <c r="F208" s="45"/>
      <c r="G208" s="45"/>
      <c r="H208" s="40"/>
      <c r="I208" s="40"/>
      <c r="J208" s="133">
        <f>$J$205*J206</f>
        <v>0</v>
      </c>
      <c r="K208" s="134">
        <f>IF(K205*K206&gt;K207,K207,K205*K206)</f>
        <v>0</v>
      </c>
      <c r="L208" s="40"/>
      <c r="M208" s="40"/>
      <c r="N208" s="40"/>
      <c r="O208" s="40"/>
      <c r="P208" s="40"/>
      <c r="Q208" s="40"/>
      <c r="R208" s="40"/>
    </row>
    <row r="209" spans="2:18" s="1" customFormat="1" ht="14.25">
      <c r="B209" s="40"/>
      <c r="C209" s="40"/>
      <c r="D209" s="40"/>
      <c r="E209" s="40"/>
      <c r="F209" s="40"/>
      <c r="G209" s="40"/>
      <c r="H209" s="40"/>
      <c r="I209" s="40"/>
      <c r="J209" s="135"/>
      <c r="K209" s="40"/>
      <c r="L209" s="40"/>
      <c r="M209" s="40"/>
      <c r="N209" s="40"/>
      <c r="O209" s="40"/>
      <c r="P209" s="40"/>
      <c r="Q209" s="40"/>
      <c r="R209" s="40"/>
    </row>
    <row r="210" spans="2:18" s="1" customFormat="1" ht="14.25">
      <c r="B210" s="40"/>
      <c r="C210" s="40"/>
      <c r="D210" s="40"/>
      <c r="E210" s="40"/>
      <c r="F210" s="40"/>
      <c r="G210" s="40"/>
      <c r="H210" s="40"/>
      <c r="I210" s="40"/>
      <c r="J210" s="40"/>
      <c r="K210" s="40"/>
      <c r="L210" s="40"/>
      <c r="M210" s="40"/>
      <c r="N210" s="40"/>
      <c r="O210" s="40"/>
      <c r="P210" s="40"/>
      <c r="Q210" s="40"/>
      <c r="R210" s="40"/>
    </row>
    <row r="211" spans="2:18" s="1" customFormat="1" ht="14.25">
      <c r="B211" s="586" t="s">
        <v>7</v>
      </c>
      <c r="C211" s="586"/>
      <c r="D211" s="586"/>
      <c r="L211" s="40"/>
      <c r="M211" s="136"/>
      <c r="N211" s="136"/>
      <c r="O211" s="40"/>
      <c r="P211" s="40"/>
      <c r="Q211" s="40"/>
      <c r="R211" s="40"/>
    </row>
    <row r="212" spans="2:18" s="1" customFormat="1" ht="14.25">
      <c r="B212" s="40"/>
      <c r="C212" s="40"/>
      <c r="D212" s="40"/>
      <c r="E212" s="40"/>
      <c r="F212" s="40"/>
      <c r="G212" s="40"/>
      <c r="H212" s="40"/>
      <c r="I212" s="40"/>
      <c r="J212" s="72">
        <v>2011</v>
      </c>
      <c r="K212" s="72">
        <v>2012</v>
      </c>
      <c r="L212" s="137"/>
      <c r="M212" s="136"/>
      <c r="N212" s="136"/>
      <c r="O212" s="40"/>
      <c r="P212" s="40"/>
      <c r="Q212" s="40"/>
      <c r="R212" s="40"/>
    </row>
    <row r="213" spans="2:18" s="1" customFormat="1" ht="14.25">
      <c r="B213" s="40"/>
      <c r="C213" s="40"/>
      <c r="D213" s="40"/>
      <c r="E213" s="45" t="s">
        <v>20</v>
      </c>
      <c r="F213" s="45"/>
      <c r="G213" s="40"/>
      <c r="H213" s="40"/>
      <c r="I213" s="40"/>
      <c r="J213" s="105">
        <f>'Simular IRS 2012'!J65+'Simular IRS 2012'!I95</f>
        <v>0</v>
      </c>
      <c r="K213" s="89">
        <f>'Simular IRS 2012'!J65+'Simular IRS 2012'!I95</f>
        <v>0</v>
      </c>
      <c r="L213" s="40"/>
      <c r="M213" s="136"/>
      <c r="N213" s="136"/>
      <c r="O213" s="40"/>
      <c r="P213" s="40"/>
      <c r="Q213" s="40"/>
      <c r="R213" s="40"/>
    </row>
    <row r="214" spans="2:18" s="1" customFormat="1" ht="14.25">
      <c r="B214" s="40"/>
      <c r="C214" s="40"/>
      <c r="D214" s="40"/>
      <c r="E214" s="594" t="s">
        <v>111</v>
      </c>
      <c r="F214" s="594"/>
      <c r="G214" s="40"/>
      <c r="H214" s="40"/>
      <c r="I214" s="40"/>
      <c r="J214" s="131">
        <v>0.3</v>
      </c>
      <c r="K214" s="92">
        <v>0.3</v>
      </c>
      <c r="L214" s="40"/>
      <c r="M214" s="136"/>
      <c r="N214" s="136"/>
      <c r="O214" s="40"/>
      <c r="P214" s="40"/>
      <c r="Q214" s="40"/>
      <c r="R214" s="40"/>
    </row>
    <row r="215" spans="2:18" s="1" customFormat="1" ht="14.25">
      <c r="B215" s="40"/>
      <c r="C215" s="40"/>
      <c r="D215" s="40"/>
      <c r="E215" s="45" t="s">
        <v>34</v>
      </c>
      <c r="F215" s="45"/>
      <c r="G215" s="40"/>
      <c r="H215" s="40"/>
      <c r="I215" s="40"/>
      <c r="J215" s="105">
        <f>J213*J214</f>
        <v>0</v>
      </c>
      <c r="K215" s="89">
        <f>K213*K214</f>
        <v>0</v>
      </c>
      <c r="L215" s="40"/>
      <c r="M215" s="136"/>
      <c r="N215" s="136"/>
      <c r="O215" s="40"/>
      <c r="P215" s="40"/>
      <c r="Q215" s="40"/>
      <c r="R215" s="40"/>
    </row>
    <row r="216" spans="2:18" s="1" customFormat="1" ht="15" thickBot="1">
      <c r="B216" s="40"/>
      <c r="C216" s="40"/>
      <c r="D216" s="40"/>
      <c r="E216" s="45" t="s">
        <v>22</v>
      </c>
      <c r="F216" s="45"/>
      <c r="G216" s="40"/>
      <c r="H216" s="40"/>
      <c r="I216" s="40"/>
      <c r="J216" s="138">
        <f>IF(J219&gt;=3,J221*J220+J219*J222*J220,J221*J220)</f>
        <v>760</v>
      </c>
      <c r="K216" s="139">
        <f>IF(J219&gt;=3,K221*K220+J219*K222*K220,K221*K220)</f>
        <v>760</v>
      </c>
      <c r="L216" s="40"/>
      <c r="M216" s="136"/>
      <c r="N216" s="136"/>
      <c r="O216" s="40"/>
      <c r="P216" s="40"/>
      <c r="Q216" s="40"/>
      <c r="R216" s="40"/>
    </row>
    <row r="217" spans="2:18" s="1" customFormat="1" ht="15" thickBot="1">
      <c r="B217" s="40"/>
      <c r="C217" s="40"/>
      <c r="D217" s="40"/>
      <c r="E217" s="120" t="s">
        <v>53</v>
      </c>
      <c r="F217" s="120"/>
      <c r="G217" s="40"/>
      <c r="H217" s="40"/>
      <c r="I217" s="40"/>
      <c r="J217" s="140">
        <f>IF($J$215&gt;J216,J216,J215)</f>
        <v>0</v>
      </c>
      <c r="K217" s="141">
        <f>IF($K$215&gt;K216,K216,K215)</f>
        <v>0</v>
      </c>
      <c r="L217" s="40"/>
      <c r="M217" s="136"/>
      <c r="N217" s="136"/>
      <c r="O217" s="40"/>
      <c r="P217" s="40"/>
      <c r="Q217" s="40"/>
      <c r="R217" s="40"/>
    </row>
    <row r="218" spans="2:18" s="1" customFormat="1" ht="14.25">
      <c r="B218" s="40"/>
      <c r="C218" s="40"/>
      <c r="D218" s="40"/>
      <c r="E218" s="40"/>
      <c r="F218" s="40"/>
      <c r="G218" s="40"/>
      <c r="H218" s="40"/>
      <c r="I218" s="40"/>
      <c r="J218" s="99"/>
      <c r="K218" s="40"/>
      <c r="L218" s="40"/>
      <c r="M218" s="136"/>
      <c r="N218" s="136"/>
      <c r="O218" s="40"/>
      <c r="P218" s="40"/>
      <c r="Q218" s="40"/>
      <c r="R218" s="40"/>
    </row>
    <row r="219" spans="2:18" s="1" customFormat="1" ht="14.25">
      <c r="B219" s="40"/>
      <c r="C219" s="40"/>
      <c r="D219" s="40"/>
      <c r="E219" s="85" t="e">
        <f>#REF!</f>
        <v>#REF!</v>
      </c>
      <c r="F219" s="85"/>
      <c r="G219" s="85"/>
      <c r="H219" s="85"/>
      <c r="I219" s="85"/>
      <c r="J219" s="603">
        <f>'Simular IRS 2012'!I97+'Simular IRS 2012'!J67</f>
        <v>0</v>
      </c>
      <c r="K219" s="603"/>
      <c r="L219" s="40"/>
      <c r="M219" s="136"/>
      <c r="N219" s="136"/>
      <c r="O219" s="40"/>
      <c r="P219" s="40"/>
      <c r="Q219" s="40"/>
      <c r="R219" s="40"/>
    </row>
    <row r="220" spans="2:18" s="1" customFormat="1" ht="14.25" customHeight="1">
      <c r="B220" s="40"/>
      <c r="C220" s="40"/>
      <c r="D220" s="40"/>
      <c r="E220" s="85" t="str">
        <f>C75</f>
        <v>RMMG 2010</v>
      </c>
      <c r="F220" s="85"/>
      <c r="G220" s="85"/>
      <c r="H220" s="85"/>
      <c r="I220" s="85"/>
      <c r="J220" s="142">
        <f>F75</f>
        <v>475</v>
      </c>
      <c r="K220" s="142">
        <f>F75</f>
        <v>475</v>
      </c>
      <c r="L220" s="40"/>
      <c r="M220" s="136"/>
      <c r="N220" s="136"/>
      <c r="O220" s="40"/>
      <c r="P220" s="40"/>
      <c r="Q220" s="40"/>
      <c r="R220" s="40"/>
    </row>
    <row r="221" spans="2:18" s="1" customFormat="1" ht="14.25">
      <c r="B221" s="40"/>
      <c r="C221" s="40"/>
      <c r="D221" s="40"/>
      <c r="E221" s="114" t="s">
        <v>22</v>
      </c>
      <c r="F221" s="85"/>
      <c r="G221" s="85"/>
      <c r="H221" s="85"/>
      <c r="I221" s="85"/>
      <c r="J221" s="143">
        <v>1.6</v>
      </c>
      <c r="K221" s="143">
        <v>1.6</v>
      </c>
      <c r="L221" s="40"/>
      <c r="M221" s="136"/>
      <c r="N221" s="136"/>
      <c r="O221" s="40"/>
      <c r="P221" s="40"/>
      <c r="Q221" s="40"/>
      <c r="R221" s="40"/>
    </row>
    <row r="222" spans="2:18" s="1" customFormat="1" ht="14.25">
      <c r="B222" s="40"/>
      <c r="C222" s="40"/>
      <c r="D222" s="40"/>
      <c r="E222" s="114" t="s">
        <v>125</v>
      </c>
      <c r="F222" s="85"/>
      <c r="G222" s="85"/>
      <c r="H222" s="85"/>
      <c r="I222" s="85"/>
      <c r="J222" s="143">
        <v>0.3</v>
      </c>
      <c r="K222" s="143">
        <v>0.3</v>
      </c>
      <c r="L222" s="40"/>
      <c r="M222" s="136"/>
      <c r="N222" s="136"/>
      <c r="O222" s="40"/>
      <c r="P222" s="40"/>
      <c r="Q222" s="40"/>
      <c r="R222" s="40"/>
    </row>
    <row r="223" spans="2:18" s="1" customFormat="1" ht="15" customHeight="1">
      <c r="B223" s="40"/>
      <c r="C223" s="40"/>
      <c r="D223" s="40"/>
      <c r="E223" s="40"/>
      <c r="F223" s="40"/>
      <c r="G223" s="40"/>
      <c r="H223" s="40"/>
      <c r="I223" s="40"/>
      <c r="J223" s="41"/>
      <c r="K223" s="41"/>
      <c r="L223" s="40"/>
      <c r="M223" s="136"/>
      <c r="N223" s="136"/>
      <c r="O223" s="40"/>
      <c r="P223" s="40"/>
      <c r="Q223" s="40"/>
      <c r="R223" s="40"/>
    </row>
    <row r="224" spans="2:18" s="1" customFormat="1" ht="14.25">
      <c r="B224" s="586" t="s">
        <v>23</v>
      </c>
      <c r="C224" s="586"/>
      <c r="D224" s="586"/>
      <c r="E224" s="40"/>
      <c r="F224" s="40"/>
      <c r="G224" s="40"/>
      <c r="H224" s="40"/>
      <c r="I224" s="40"/>
      <c r="J224" s="40"/>
      <c r="K224" s="40"/>
      <c r="L224" s="40"/>
      <c r="M224" s="40"/>
      <c r="N224" s="40"/>
      <c r="O224" s="40"/>
      <c r="P224" s="40"/>
      <c r="Q224" s="40"/>
      <c r="R224" s="40"/>
    </row>
    <row r="225" spans="2:18" s="1" customFormat="1" ht="14.25">
      <c r="B225" s="40"/>
      <c r="C225" s="40"/>
      <c r="D225" s="40"/>
      <c r="E225" s="40"/>
      <c r="F225" s="40"/>
      <c r="G225" s="40"/>
      <c r="H225" s="40"/>
      <c r="I225" s="40"/>
      <c r="J225" s="72">
        <v>2011</v>
      </c>
      <c r="K225" s="72">
        <v>2012</v>
      </c>
      <c r="L225" s="40"/>
      <c r="M225" s="40"/>
      <c r="N225" s="40"/>
      <c r="O225" s="40"/>
      <c r="P225" s="40"/>
      <c r="Q225" s="40"/>
      <c r="R225" s="40"/>
    </row>
    <row r="226" spans="2:18" s="1" customFormat="1" ht="14.25">
      <c r="B226" s="40"/>
      <c r="C226" s="40"/>
      <c r="D226" s="40"/>
      <c r="E226" s="45" t="s">
        <v>179</v>
      </c>
      <c r="F226" s="45"/>
      <c r="G226" s="40"/>
      <c r="H226" s="40"/>
      <c r="I226" s="40"/>
      <c r="J226" s="105">
        <f>'Simular IRS 2012'!J71+'Simular IRS 2012'!I101</f>
        <v>0</v>
      </c>
      <c r="K226" s="81">
        <f>'Simular IRS 2012'!J71+'Simular IRS 2012'!I101</f>
        <v>0</v>
      </c>
      <c r="L226" s="40"/>
      <c r="P226" s="40"/>
      <c r="Q226" s="40"/>
      <c r="R226" s="40"/>
    </row>
    <row r="227" spans="2:18" s="1" customFormat="1" ht="14.25">
      <c r="B227" s="40"/>
      <c r="C227" s="40"/>
      <c r="D227" s="40"/>
      <c r="E227" s="45" t="s">
        <v>180</v>
      </c>
      <c r="F227" s="45"/>
      <c r="G227" s="40"/>
      <c r="H227" s="40"/>
      <c r="I227" s="40"/>
      <c r="J227" s="105">
        <f>'Simular IRS 2012'!I103+'Simular IRS 2012'!J73</f>
        <v>0</v>
      </c>
      <c r="K227" s="81">
        <f>'Simular IRS 2012'!I103+'Simular IRS 2012'!J73</f>
        <v>0</v>
      </c>
      <c r="L227" s="40"/>
      <c r="P227" s="40"/>
      <c r="Q227" s="40"/>
      <c r="R227" s="40"/>
    </row>
    <row r="228" spans="2:18" s="1" customFormat="1" ht="14.25">
      <c r="B228" s="40"/>
      <c r="C228" s="40"/>
      <c r="D228" s="40"/>
      <c r="E228" s="594" t="s">
        <v>111</v>
      </c>
      <c r="F228" s="594"/>
      <c r="G228" s="40"/>
      <c r="H228" s="40"/>
      <c r="I228" s="40"/>
      <c r="J228" s="131">
        <v>0.3</v>
      </c>
      <c r="K228" s="146">
        <v>0.15</v>
      </c>
      <c r="L228" s="40"/>
      <c r="P228" s="40"/>
      <c r="Q228" s="40"/>
      <c r="R228" s="40"/>
    </row>
    <row r="229" spans="2:18" s="1" customFormat="1" ht="14.25">
      <c r="B229" s="40"/>
      <c r="C229" s="40"/>
      <c r="D229" s="40"/>
      <c r="E229" s="45" t="s">
        <v>21</v>
      </c>
      <c r="F229" s="45"/>
      <c r="G229" s="40"/>
      <c r="H229" s="40"/>
      <c r="I229" s="40"/>
      <c r="J229" s="105">
        <f>(J226+J227)*J228</f>
        <v>0</v>
      </c>
      <c r="K229" s="81">
        <f>K227*K228</f>
        <v>0</v>
      </c>
      <c r="L229" s="40"/>
      <c r="P229" s="40"/>
      <c r="Q229" s="40"/>
      <c r="R229" s="40"/>
    </row>
    <row r="230" spans="2:18" s="1" customFormat="1" ht="15" thickBot="1">
      <c r="B230" s="40"/>
      <c r="C230" s="40"/>
      <c r="D230" s="40"/>
      <c r="E230" s="45" t="s">
        <v>22</v>
      </c>
      <c r="F230" s="45"/>
      <c r="G230" s="40"/>
      <c r="H230" s="40"/>
      <c r="I230" s="40"/>
      <c r="J230" s="138">
        <f>IF(F68=2,(VLOOKUP($K$24,F236:H239,3,TRUE))*0.5,(VLOOKUP($K$24,F236:H239,3,TRUE)))</f>
        <v>886.5</v>
      </c>
      <c r="K230" s="138">
        <f>IF(F68=2,(VLOOKUP($K$24,J236:L239,3,TRUE))*0.5,(VLOOKUP($K$24,J236:L239,3,TRUE)))</f>
        <v>886.5</v>
      </c>
      <c r="L230" s="40"/>
      <c r="P230" s="40"/>
      <c r="Q230" s="40"/>
      <c r="R230" s="40"/>
    </row>
    <row r="231" spans="2:18" s="1" customFormat="1" ht="15" thickBot="1">
      <c r="B231" s="40"/>
      <c r="C231" s="40"/>
      <c r="D231" s="40"/>
      <c r="E231" s="120" t="s">
        <v>53</v>
      </c>
      <c r="F231" s="120"/>
      <c r="G231" s="50"/>
      <c r="H231" s="50"/>
      <c r="I231" s="50"/>
      <c r="J231" s="149">
        <f>IF($J$229&gt;$J$230,$J$230,$J$229)</f>
        <v>0</v>
      </c>
      <c r="K231" s="150">
        <f>IF($K$229&gt;$K$230,$K$230,$K$229)</f>
        <v>0</v>
      </c>
      <c r="L231" s="40"/>
      <c r="P231" s="40"/>
      <c r="Q231" s="40"/>
      <c r="R231" s="40"/>
    </row>
    <row r="232" spans="2:18" s="1" customFormat="1" ht="14.25">
      <c r="B232" s="40"/>
      <c r="C232" s="40"/>
      <c r="D232" s="40"/>
      <c r="E232" s="40"/>
      <c r="F232" s="40"/>
      <c r="G232" s="40"/>
      <c r="H232" s="40"/>
      <c r="I232" s="40"/>
      <c r="J232" s="99"/>
      <c r="K232" s="40"/>
      <c r="L232" s="40"/>
      <c r="M232" s="40"/>
      <c r="N232" s="40"/>
      <c r="O232" s="40"/>
      <c r="P232" s="40"/>
      <c r="Q232" s="40"/>
      <c r="R232" s="40"/>
    </row>
    <row r="233" spans="2:18" s="1" customFormat="1" ht="14.25">
      <c r="B233" s="40"/>
      <c r="C233" s="40"/>
      <c r="D233" s="40"/>
      <c r="E233" s="114" t="s">
        <v>119</v>
      </c>
      <c r="F233" s="85"/>
      <c r="G233" s="118"/>
      <c r="H233" s="118"/>
      <c r="I233" s="118"/>
      <c r="J233" s="118"/>
      <c r="K233" s="118"/>
      <c r="L233" s="85"/>
      <c r="M233" s="85"/>
      <c r="N233" s="40"/>
      <c r="O233" s="40"/>
      <c r="P233" s="40"/>
      <c r="Q233" s="40"/>
      <c r="R233" s="40"/>
    </row>
    <row r="234" spans="2:18" s="1" customFormat="1" ht="15" thickBot="1">
      <c r="B234" s="40"/>
      <c r="C234" s="40"/>
      <c r="D234" s="40"/>
      <c r="E234" s="114"/>
      <c r="F234" s="607">
        <v>2011</v>
      </c>
      <c r="G234" s="607"/>
      <c r="H234" s="607"/>
      <c r="I234" s="118"/>
      <c r="J234" s="607">
        <v>2012</v>
      </c>
      <c r="K234" s="607"/>
      <c r="L234" s="607"/>
      <c r="M234" s="85"/>
      <c r="N234" s="40"/>
      <c r="O234" s="40"/>
      <c r="P234" s="40"/>
      <c r="Q234" s="40"/>
      <c r="R234" s="40"/>
    </row>
    <row r="235" spans="2:18" s="1" customFormat="1" ht="15" thickBot="1">
      <c r="B235" s="40"/>
      <c r="C235" s="40"/>
      <c r="D235" s="40"/>
      <c r="E235" s="85"/>
      <c r="F235" s="608" t="s">
        <v>26</v>
      </c>
      <c r="G235" s="609"/>
      <c r="H235" s="151" t="s">
        <v>37</v>
      </c>
      <c r="I235" s="118"/>
      <c r="J235" s="608" t="s">
        <v>26</v>
      </c>
      <c r="K235" s="609"/>
      <c r="L235" s="151" t="s">
        <v>37</v>
      </c>
      <c r="M235" s="85"/>
      <c r="N235" s="40"/>
      <c r="O235" s="40"/>
      <c r="P235" s="40"/>
      <c r="Q235" s="40"/>
      <c r="R235" s="40"/>
    </row>
    <row r="236" spans="2:18" s="1" customFormat="1" ht="14.25">
      <c r="B236" s="40"/>
      <c r="C236" s="40"/>
      <c r="D236" s="40"/>
      <c r="E236" s="85"/>
      <c r="F236" s="152">
        <v>0</v>
      </c>
      <c r="G236" s="153">
        <v>7410</v>
      </c>
      <c r="H236" s="154">
        <v>886.5</v>
      </c>
      <c r="I236" s="118"/>
      <c r="J236" s="152">
        <v>0</v>
      </c>
      <c r="K236" s="153">
        <v>7410</v>
      </c>
      <c r="L236" s="154">
        <v>886.5</v>
      </c>
      <c r="M236" s="85"/>
      <c r="N236" s="40"/>
      <c r="O236" s="40"/>
      <c r="P236" s="40"/>
      <c r="Q236" s="40"/>
      <c r="R236" s="40"/>
    </row>
    <row r="237" spans="2:18" s="1" customFormat="1" ht="14.25">
      <c r="B237" s="40"/>
      <c r="C237" s="40"/>
      <c r="D237" s="40"/>
      <c r="E237" s="85"/>
      <c r="F237" s="155">
        <v>7410</v>
      </c>
      <c r="G237" s="156">
        <v>18375</v>
      </c>
      <c r="H237" s="157">
        <v>709.2</v>
      </c>
      <c r="I237" s="118"/>
      <c r="J237" s="155">
        <v>7410</v>
      </c>
      <c r="K237" s="156">
        <v>18375</v>
      </c>
      <c r="L237" s="157">
        <v>709.2</v>
      </c>
      <c r="M237" s="85"/>
      <c r="N237" s="40"/>
      <c r="O237" s="40"/>
      <c r="P237" s="40"/>
      <c r="Q237" s="40"/>
      <c r="R237" s="40"/>
    </row>
    <row r="238" spans="2:18" s="1" customFormat="1" ht="14.25">
      <c r="B238" s="40"/>
      <c r="C238" s="40"/>
      <c r="D238" s="40"/>
      <c r="E238" s="85"/>
      <c r="F238" s="155">
        <v>18375</v>
      </c>
      <c r="G238" s="156">
        <v>42259</v>
      </c>
      <c r="H238" s="157">
        <v>650.1</v>
      </c>
      <c r="I238" s="118"/>
      <c r="J238" s="155">
        <v>18375</v>
      </c>
      <c r="K238" s="156">
        <v>42259</v>
      </c>
      <c r="L238" s="157">
        <v>650.1</v>
      </c>
      <c r="M238" s="85"/>
      <c r="N238" s="40"/>
      <c r="O238" s="40"/>
      <c r="P238" s="40"/>
      <c r="Q238" s="40"/>
      <c r="R238" s="40"/>
    </row>
    <row r="239" spans="2:18" s="1" customFormat="1" ht="15" thickBot="1">
      <c r="B239" s="40"/>
      <c r="C239" s="40"/>
      <c r="D239" s="40"/>
      <c r="E239" s="118"/>
      <c r="F239" s="158">
        <v>42259</v>
      </c>
      <c r="G239" s="159">
        <v>999999999</v>
      </c>
      <c r="H239" s="160">
        <v>591</v>
      </c>
      <c r="I239" s="118"/>
      <c r="J239" s="158">
        <v>42259</v>
      </c>
      <c r="K239" s="159">
        <v>999999999</v>
      </c>
      <c r="L239" s="160">
        <v>591</v>
      </c>
      <c r="M239" s="85"/>
      <c r="N239" s="40"/>
      <c r="O239" s="40"/>
      <c r="P239" s="40"/>
      <c r="Q239" s="40"/>
      <c r="R239" s="40"/>
    </row>
    <row r="240" spans="2:18" s="1" customFormat="1" ht="14.25">
      <c r="B240" s="40"/>
      <c r="C240" s="40"/>
      <c r="D240" s="40"/>
      <c r="E240" s="118"/>
      <c r="F240" s="161"/>
      <c r="G240" s="161"/>
      <c r="H240" s="162"/>
      <c r="I240" s="118"/>
      <c r="J240" s="161"/>
      <c r="K240" s="161"/>
      <c r="L240" s="162"/>
      <c r="M240" s="85"/>
      <c r="N240" s="40"/>
      <c r="O240" s="40"/>
      <c r="P240" s="40"/>
      <c r="Q240" s="40"/>
      <c r="R240" s="40"/>
    </row>
    <row r="241" spans="2:18" s="1" customFormat="1" ht="15" customHeight="1">
      <c r="B241" s="40"/>
      <c r="C241" s="40"/>
      <c r="D241" s="40"/>
      <c r="E241" s="40"/>
      <c r="F241" s="40"/>
      <c r="G241" s="40"/>
      <c r="H241" s="40"/>
      <c r="I241" s="40"/>
      <c r="J241" s="41"/>
      <c r="K241" s="41"/>
      <c r="L241" s="40"/>
      <c r="M241" s="136"/>
      <c r="N241" s="136"/>
      <c r="O241" s="40"/>
      <c r="P241" s="40"/>
      <c r="Q241" s="40"/>
      <c r="R241" s="40"/>
    </row>
    <row r="242" spans="2:18" s="1" customFormat="1" ht="14.25">
      <c r="B242" s="585" t="s">
        <v>170</v>
      </c>
      <c r="C242" s="586"/>
      <c r="D242" s="586"/>
      <c r="E242" s="40"/>
      <c r="F242" s="40"/>
      <c r="G242" s="40"/>
      <c r="H242" s="40"/>
      <c r="I242" s="40"/>
      <c r="J242" s="40"/>
      <c r="K242" s="40"/>
      <c r="L242" s="40"/>
      <c r="M242" s="40"/>
      <c r="N242" s="40"/>
      <c r="O242" s="40"/>
      <c r="P242" s="40"/>
      <c r="Q242" s="40"/>
      <c r="R242" s="40"/>
    </row>
    <row r="243" spans="2:18" s="1" customFormat="1" ht="14.25">
      <c r="B243" s="40"/>
      <c r="C243" s="40"/>
      <c r="D243" s="40"/>
      <c r="E243" s="40"/>
      <c r="F243" s="40"/>
      <c r="G243" s="40"/>
      <c r="H243" s="40"/>
      <c r="I243" s="40"/>
      <c r="J243" s="72">
        <v>2011</v>
      </c>
      <c r="K243" s="72">
        <v>2012</v>
      </c>
      <c r="L243" s="40"/>
      <c r="M243" s="40"/>
      <c r="N243" s="40"/>
      <c r="O243" s="40"/>
      <c r="P243" s="40"/>
      <c r="Q243" s="40"/>
      <c r="R243" s="40"/>
    </row>
    <row r="244" spans="2:18" s="1" customFormat="1" ht="14.25">
      <c r="B244" s="40"/>
      <c r="C244" s="40"/>
      <c r="D244" s="40"/>
      <c r="E244" s="45" t="s">
        <v>20</v>
      </c>
      <c r="F244" s="45"/>
      <c r="G244" s="40"/>
      <c r="H244" s="40"/>
      <c r="I244" s="40"/>
      <c r="J244" s="144">
        <f>'Simular IRS 2012'!J75+'Simular IRS 2012'!I105</f>
        <v>0</v>
      </c>
      <c r="K244" s="145">
        <f>'Simular IRS 2012'!J75+'Simular IRS 2012'!I105</f>
        <v>0</v>
      </c>
      <c r="L244" s="40"/>
      <c r="P244" s="40"/>
      <c r="Q244" s="40"/>
      <c r="R244" s="40"/>
    </row>
    <row r="245" spans="2:18" s="1" customFormat="1" ht="14.25">
      <c r="B245" s="40"/>
      <c r="C245" s="40"/>
      <c r="D245" s="40"/>
      <c r="E245" s="594" t="s">
        <v>111</v>
      </c>
      <c r="F245" s="594"/>
      <c r="G245" s="40"/>
      <c r="H245" s="40"/>
      <c r="I245" s="40"/>
      <c r="J245" s="131">
        <v>0.3</v>
      </c>
      <c r="K245" s="146">
        <v>0.15</v>
      </c>
      <c r="L245" s="40"/>
      <c r="P245" s="40"/>
      <c r="Q245" s="40"/>
      <c r="R245" s="40"/>
    </row>
    <row r="246" spans="2:18" s="1" customFormat="1" ht="14.25">
      <c r="B246" s="40"/>
      <c r="C246" s="40"/>
      <c r="D246" s="40"/>
      <c r="E246" s="45" t="s">
        <v>21</v>
      </c>
      <c r="F246" s="45"/>
      <c r="G246" s="40"/>
      <c r="H246" s="40"/>
      <c r="I246" s="40"/>
      <c r="J246" s="147">
        <f>J244*J245</f>
        <v>0</v>
      </c>
      <c r="K246" s="148">
        <f>K244*K245</f>
        <v>0</v>
      </c>
      <c r="L246" s="40"/>
      <c r="P246" s="40"/>
      <c r="Q246" s="40"/>
      <c r="R246" s="40"/>
    </row>
    <row r="247" spans="2:18" s="1" customFormat="1" ht="15" thickBot="1">
      <c r="B247" s="40"/>
      <c r="C247" s="40"/>
      <c r="D247" s="40"/>
      <c r="E247" s="45" t="s">
        <v>22</v>
      </c>
      <c r="F247" s="45"/>
      <c r="G247" s="40"/>
      <c r="H247" s="40"/>
      <c r="I247" s="40"/>
      <c r="J247" s="144">
        <f>H239</f>
        <v>591</v>
      </c>
      <c r="K247" s="144">
        <f>IF(F68=2,(VLOOKUP($K$24,J236:L239,3,TRUE))*0.5,(VLOOKUP($K$24,J236:L239,3,TRUE)))</f>
        <v>886.5</v>
      </c>
      <c r="L247" s="40"/>
      <c r="P247" s="40"/>
      <c r="Q247" s="40"/>
      <c r="R247" s="40"/>
    </row>
    <row r="248" spans="2:18" s="1" customFormat="1" ht="15" thickBot="1">
      <c r="B248" s="40"/>
      <c r="C248" s="40"/>
      <c r="D248" s="40"/>
      <c r="E248" s="120" t="s">
        <v>53</v>
      </c>
      <c r="F248" s="120"/>
      <c r="G248" s="50"/>
      <c r="H248" s="50"/>
      <c r="I248" s="50"/>
      <c r="J248" s="149">
        <f>MIN(J246:J247)</f>
        <v>0</v>
      </c>
      <c r="K248" s="150">
        <f>MIN(K246:K247)</f>
        <v>0</v>
      </c>
      <c r="L248" s="40"/>
      <c r="P248" s="40"/>
      <c r="Q248" s="40"/>
      <c r="R248" s="40"/>
    </row>
    <row r="249" spans="2:18" s="1" customFormat="1" ht="14.25">
      <c r="B249" s="40"/>
      <c r="C249" s="40"/>
      <c r="D249" s="40"/>
      <c r="E249" s="40"/>
      <c r="F249" s="40"/>
      <c r="G249" s="40"/>
      <c r="H249" s="40"/>
      <c r="I249" s="40"/>
      <c r="J249" s="99"/>
      <c r="K249" s="40"/>
      <c r="L249" s="40"/>
      <c r="M249" s="40"/>
      <c r="N249" s="40"/>
      <c r="O249" s="40"/>
      <c r="P249" s="40"/>
      <c r="Q249" s="40"/>
      <c r="R249" s="40"/>
    </row>
    <row r="250" spans="2:18" s="1" customFormat="1" ht="14.25">
      <c r="B250" s="40"/>
      <c r="C250" s="40"/>
      <c r="D250" s="40"/>
      <c r="E250" s="40"/>
      <c r="F250" s="40"/>
      <c r="G250" s="40"/>
      <c r="H250" s="40"/>
      <c r="I250" s="40"/>
      <c r="J250" s="40"/>
      <c r="K250" s="40"/>
      <c r="L250" s="40"/>
      <c r="M250" s="40"/>
      <c r="N250" s="40"/>
      <c r="O250" s="40"/>
      <c r="P250" s="40"/>
      <c r="Q250" s="40"/>
      <c r="R250" s="40"/>
    </row>
    <row r="251" spans="2:18" s="1" customFormat="1" ht="14.25">
      <c r="B251" s="585" t="s">
        <v>248</v>
      </c>
      <c r="C251" s="585"/>
      <c r="D251" s="585"/>
      <c r="E251" s="585"/>
      <c r="F251" s="585"/>
      <c r="G251" s="585"/>
      <c r="H251" s="40"/>
      <c r="I251" s="40"/>
      <c r="J251" s="40"/>
      <c r="K251" s="40"/>
      <c r="L251" s="40"/>
      <c r="M251" s="40"/>
      <c r="N251" s="40"/>
      <c r="O251" s="40"/>
      <c r="P251" s="40"/>
      <c r="Q251" s="40"/>
      <c r="R251" s="40"/>
    </row>
    <row r="252" spans="2:18" s="1" customFormat="1" ht="14.25">
      <c r="B252" s="40"/>
      <c r="C252" s="40"/>
      <c r="D252" s="40"/>
      <c r="E252" s="40"/>
      <c r="F252" s="40"/>
      <c r="G252" s="40"/>
      <c r="H252" s="40"/>
      <c r="I252" s="40"/>
      <c r="J252" s="40"/>
      <c r="K252" s="40"/>
      <c r="L252" s="40"/>
      <c r="M252" s="40"/>
      <c r="N252" s="40"/>
      <c r="O252" s="40"/>
      <c r="P252" s="40"/>
      <c r="Q252" s="40"/>
      <c r="R252" s="40"/>
    </row>
    <row r="253" spans="2:18" s="1" customFormat="1" ht="14.25">
      <c r="B253" s="40"/>
      <c r="C253" s="40"/>
      <c r="D253" s="40"/>
      <c r="E253" s="45" t="s">
        <v>249</v>
      </c>
      <c r="F253" s="45"/>
      <c r="G253" s="45"/>
      <c r="H253" s="45"/>
      <c r="I253" s="45"/>
      <c r="J253" s="144">
        <f>J230</f>
        <v>886.5</v>
      </c>
      <c r="K253" s="144">
        <f>K230</f>
        <v>886.5</v>
      </c>
      <c r="L253" s="40"/>
      <c r="M253" s="40"/>
      <c r="N253" s="40"/>
      <c r="O253" s="40"/>
      <c r="P253" s="40"/>
      <c r="Q253" s="40"/>
      <c r="R253" s="40"/>
    </row>
    <row r="254" spans="2:18" s="1" customFormat="1" ht="14.25">
      <c r="B254" s="40"/>
      <c r="C254" s="40"/>
      <c r="D254" s="40"/>
      <c r="E254" s="45" t="s">
        <v>250</v>
      </c>
      <c r="F254" s="45"/>
      <c r="G254" s="45"/>
      <c r="H254" s="45"/>
      <c r="I254" s="45"/>
      <c r="J254" s="144">
        <f>J231</f>
        <v>0</v>
      </c>
      <c r="K254" s="144">
        <f>K231</f>
        <v>0</v>
      </c>
      <c r="L254" s="40"/>
      <c r="M254" s="40"/>
      <c r="N254" s="40"/>
      <c r="O254" s="40"/>
      <c r="P254" s="40"/>
      <c r="Q254" s="40"/>
      <c r="R254" s="40"/>
    </row>
    <row r="255" spans="2:18" s="1" customFormat="1" ht="15" thickBot="1">
      <c r="B255" s="40"/>
      <c r="C255" s="40"/>
      <c r="D255" s="40"/>
      <c r="E255" s="45" t="s">
        <v>251</v>
      </c>
      <c r="F255" s="45"/>
      <c r="G255" s="45"/>
      <c r="H255" s="45"/>
      <c r="I255" s="45"/>
      <c r="J255" s="138">
        <f>J247</f>
        <v>591</v>
      </c>
      <c r="K255" s="138">
        <f>K247</f>
        <v>886.5</v>
      </c>
      <c r="L255" s="40"/>
      <c r="M255" s="40"/>
      <c r="N255" s="40"/>
      <c r="O255" s="40"/>
      <c r="P255" s="40"/>
      <c r="Q255" s="40"/>
      <c r="R255" s="40"/>
    </row>
    <row r="256" spans="2:18" s="1" customFormat="1" ht="15" thickBot="1">
      <c r="B256" s="40"/>
      <c r="C256" s="40"/>
      <c r="D256" s="40"/>
      <c r="E256" s="45" t="s">
        <v>252</v>
      </c>
      <c r="F256" s="45"/>
      <c r="G256" s="45"/>
      <c r="H256" s="45"/>
      <c r="I256" s="45"/>
      <c r="J256" s="149">
        <f>J248</f>
        <v>0</v>
      </c>
      <c r="K256" s="149">
        <f>K248</f>
        <v>0</v>
      </c>
      <c r="L256" s="40"/>
      <c r="M256" s="40"/>
      <c r="N256" s="40"/>
      <c r="O256" s="40"/>
      <c r="P256" s="40"/>
      <c r="Q256" s="40"/>
      <c r="R256" s="40"/>
    </row>
    <row r="257" spans="2:18" s="1" customFormat="1" ht="15" thickBot="1">
      <c r="B257" s="40"/>
      <c r="C257" s="40"/>
      <c r="D257" s="40"/>
      <c r="E257" s="120" t="s">
        <v>253</v>
      </c>
      <c r="F257" s="45"/>
      <c r="G257" s="45"/>
      <c r="H257" s="45"/>
      <c r="I257" s="45"/>
      <c r="J257" s="149">
        <f>IF(J254+J256&lt;J253,J254+J256,J253)</f>
        <v>0</v>
      </c>
      <c r="K257" s="149">
        <f>IF(K254+K256&lt;K253,K254+K256,K253)</f>
        <v>0</v>
      </c>
      <c r="L257" s="40"/>
      <c r="M257" s="40"/>
      <c r="N257" s="40"/>
      <c r="O257" s="40"/>
      <c r="P257" s="40"/>
      <c r="Q257" s="40"/>
      <c r="R257" s="40"/>
    </row>
    <row r="258" spans="1:18" s="1" customFormat="1" ht="14.25">
      <c r="A258" s="163"/>
      <c r="B258" s="41"/>
      <c r="C258" s="41"/>
      <c r="D258" s="41"/>
      <c r="E258" s="163"/>
      <c r="F258" s="164"/>
      <c r="G258" s="164"/>
      <c r="H258" s="165"/>
      <c r="I258" s="163"/>
      <c r="J258" s="164"/>
      <c r="K258" s="164"/>
      <c r="L258" s="165"/>
      <c r="M258" s="41"/>
      <c r="N258" s="41"/>
      <c r="O258" s="41"/>
      <c r="P258" s="41"/>
      <c r="Q258" s="41"/>
      <c r="R258" s="41"/>
    </row>
    <row r="259" spans="1:18" s="1" customFormat="1" ht="14.25">
      <c r="A259" s="163"/>
      <c r="B259" s="41"/>
      <c r="C259" s="41"/>
      <c r="D259" s="41"/>
      <c r="E259" s="163"/>
      <c r="F259" s="164"/>
      <c r="G259" s="164"/>
      <c r="H259" s="165"/>
      <c r="I259" s="163"/>
      <c r="J259" s="163"/>
      <c r="K259" s="41"/>
      <c r="L259" s="41"/>
      <c r="M259" s="41"/>
      <c r="N259" s="41"/>
      <c r="O259" s="41"/>
      <c r="P259" s="41"/>
      <c r="Q259" s="41"/>
      <c r="R259" s="41"/>
    </row>
    <row r="260" spans="1:18" s="1" customFormat="1" ht="14.25">
      <c r="A260" s="163"/>
      <c r="B260" s="585" t="s">
        <v>142</v>
      </c>
      <c r="C260" s="585"/>
      <c r="D260" s="585"/>
      <c r="E260" s="163"/>
      <c r="F260" s="164"/>
      <c r="G260" s="164"/>
      <c r="H260" s="165"/>
      <c r="I260" s="163"/>
      <c r="J260" s="163"/>
      <c r="K260" s="41"/>
      <c r="L260" s="41"/>
      <c r="M260" s="41"/>
      <c r="N260" s="41"/>
      <c r="O260" s="41"/>
      <c r="P260" s="41"/>
      <c r="Q260" s="41"/>
      <c r="R260" s="41"/>
    </row>
    <row r="261" spans="1:18" s="1" customFormat="1" ht="14.25">
      <c r="A261" s="163"/>
      <c r="B261" s="41"/>
      <c r="C261" s="41"/>
      <c r="D261" s="41"/>
      <c r="E261" s="163"/>
      <c r="F261" s="164"/>
      <c r="G261" s="164"/>
      <c r="H261" s="165"/>
      <c r="I261" s="163"/>
      <c r="J261" s="163"/>
      <c r="K261" s="41"/>
      <c r="L261" s="41"/>
      <c r="M261" s="41"/>
      <c r="N261" s="41"/>
      <c r="O261" s="41"/>
      <c r="P261" s="41"/>
      <c r="Q261" s="41"/>
      <c r="R261" s="41"/>
    </row>
    <row r="262" spans="1:18" s="1" customFormat="1" ht="14.25">
      <c r="A262" s="166"/>
      <c r="B262" s="166"/>
      <c r="C262" s="166"/>
      <c r="D262" s="166"/>
      <c r="E262" s="44" t="s">
        <v>135</v>
      </c>
      <c r="F262" s="44"/>
      <c r="G262" s="44"/>
      <c r="H262" s="166"/>
      <c r="I262" s="166"/>
      <c r="J262" s="167">
        <f>_xlfn.IFERROR((('Simular IRS 2012'!J77+'Simular IRS 2012'!I107)/12)/J263,0)</f>
        <v>0</v>
      </c>
      <c r="K262" s="167">
        <f>_xlfn.IFERROR((('Simular IRS 2012'!J77+'Simular IRS 2012'!I107)/12)/K263,0)</f>
        <v>0</v>
      </c>
      <c r="L262" s="166"/>
      <c r="M262" s="166"/>
      <c r="N262" s="166"/>
      <c r="O262" s="166"/>
      <c r="P262" s="166"/>
      <c r="Q262" s="166"/>
      <c r="R262" s="166"/>
    </row>
    <row r="263" spans="1:18" s="1" customFormat="1" ht="14.25">
      <c r="A263" s="166"/>
      <c r="B263" s="166"/>
      <c r="C263" s="166"/>
      <c r="D263" s="166"/>
      <c r="E263" s="44" t="s">
        <v>136</v>
      </c>
      <c r="F263" s="44"/>
      <c r="G263" s="44"/>
      <c r="H263" s="166"/>
      <c r="I263" s="166"/>
      <c r="J263" s="168">
        <f>'Simular IRS 2012'!J79+'Simular IRS 2012'!I109</f>
        <v>0</v>
      </c>
      <c r="K263" s="168">
        <f>'Simular IRS 2012'!J79+'Simular IRS 2012'!I109</f>
        <v>0</v>
      </c>
      <c r="L263" s="166"/>
      <c r="M263" s="166"/>
      <c r="N263" s="166"/>
      <c r="O263" s="166"/>
      <c r="P263" s="166"/>
      <c r="Q263" s="166"/>
      <c r="R263" s="166"/>
    </row>
    <row r="264" spans="1:18" s="1" customFormat="1" ht="14.25">
      <c r="A264" s="166"/>
      <c r="B264" s="166"/>
      <c r="C264" s="166"/>
      <c r="D264" s="166"/>
      <c r="E264" s="44" t="s">
        <v>137</v>
      </c>
      <c r="F264" s="44"/>
      <c r="G264" s="44"/>
      <c r="H264" s="166"/>
      <c r="I264" s="166"/>
      <c r="J264" s="167">
        <f>J262*J263*12</f>
        <v>0</v>
      </c>
      <c r="K264" s="167">
        <f>K262*K263*12</f>
        <v>0</v>
      </c>
      <c r="L264" s="166"/>
      <c r="M264" s="166"/>
      <c r="N264" s="166"/>
      <c r="O264" s="166"/>
      <c r="P264" s="166"/>
      <c r="Q264" s="166"/>
      <c r="R264" s="166"/>
    </row>
    <row r="265" spans="1:18" s="1" customFormat="1" ht="14.25">
      <c r="A265" s="166"/>
      <c r="B265" s="166"/>
      <c r="C265" s="166"/>
      <c r="D265" s="166"/>
      <c r="E265" s="44" t="s">
        <v>138</v>
      </c>
      <c r="F265" s="44"/>
      <c r="G265" s="44"/>
      <c r="H265" s="166"/>
      <c r="I265" s="166"/>
      <c r="J265" s="169">
        <v>0.2</v>
      </c>
      <c r="K265" s="169">
        <v>0.2</v>
      </c>
      <c r="L265" s="166"/>
      <c r="M265" s="166"/>
      <c r="N265" s="166"/>
      <c r="O265" s="166"/>
      <c r="P265" s="166"/>
      <c r="Q265" s="166"/>
      <c r="R265" s="166"/>
    </row>
    <row r="266" spans="1:18" s="1" customFormat="1" ht="14.25">
      <c r="A266" s="166"/>
      <c r="B266" s="166"/>
      <c r="C266" s="166"/>
      <c r="D266" s="166"/>
      <c r="E266" s="44" t="s">
        <v>140</v>
      </c>
      <c r="F266" s="44"/>
      <c r="G266" s="44"/>
      <c r="H266" s="166"/>
      <c r="I266" s="166"/>
      <c r="J266" s="167">
        <f>H271*H270*12*J263</f>
        <v>0</v>
      </c>
      <c r="K266" s="167">
        <f>I270*I271*12*K263</f>
        <v>0</v>
      </c>
      <c r="L266" s="166"/>
      <c r="M266" s="166"/>
      <c r="N266" s="166"/>
      <c r="O266" s="166"/>
      <c r="P266" s="166"/>
      <c r="Q266" s="166"/>
      <c r="R266" s="166"/>
    </row>
    <row r="267" spans="1:18" s="1" customFormat="1" ht="14.25">
      <c r="A267" s="166"/>
      <c r="B267" s="166"/>
      <c r="C267" s="166"/>
      <c r="D267" s="166"/>
      <c r="E267" s="50" t="s">
        <v>141</v>
      </c>
      <c r="F267" s="50"/>
      <c r="G267" s="50"/>
      <c r="H267" s="170"/>
      <c r="I267" s="170"/>
      <c r="J267" s="171">
        <f>IF(J264*J265&gt;J266,J266,J264*J265)</f>
        <v>0</v>
      </c>
      <c r="K267" s="171">
        <f>IF(K264*K265&gt;K266,K266,K264*K265)</f>
        <v>0</v>
      </c>
      <c r="L267" s="166"/>
      <c r="M267" s="166"/>
      <c r="N267" s="166"/>
      <c r="O267" s="166"/>
      <c r="P267" s="166"/>
      <c r="Q267" s="166"/>
      <c r="R267" s="166"/>
    </row>
    <row r="268" spans="1:18" s="1" customFormat="1" ht="14.25">
      <c r="A268" s="166"/>
      <c r="B268" s="172"/>
      <c r="C268" s="173"/>
      <c r="D268" s="166"/>
      <c r="E268" s="44"/>
      <c r="F268" s="166"/>
      <c r="G268" s="166"/>
      <c r="H268" s="166"/>
      <c r="I268" s="166"/>
      <c r="J268" s="166"/>
      <c r="K268" s="166"/>
      <c r="L268" s="166"/>
      <c r="M268" s="166"/>
      <c r="N268" s="166"/>
      <c r="O268" s="166"/>
      <c r="P268" s="166"/>
      <c r="Q268" s="166"/>
      <c r="R268" s="166"/>
    </row>
    <row r="269" spans="1:18" s="1" customFormat="1" ht="14.25">
      <c r="A269" s="166"/>
      <c r="B269" s="172"/>
      <c r="C269" s="173"/>
      <c r="D269" s="166"/>
      <c r="E269" s="44"/>
      <c r="F269" s="114"/>
      <c r="G269" s="114"/>
      <c r="H269" s="174">
        <v>2011</v>
      </c>
      <c r="I269" s="174">
        <v>2012</v>
      </c>
      <c r="J269" s="166"/>
      <c r="K269" s="166"/>
      <c r="L269" s="166"/>
      <c r="M269" s="166"/>
      <c r="N269" s="166"/>
      <c r="O269" s="166"/>
      <c r="P269" s="166"/>
      <c r="Q269" s="166"/>
      <c r="R269" s="166"/>
    </row>
    <row r="270" spans="1:18" s="1" customFormat="1" ht="14.25">
      <c r="A270" s="166"/>
      <c r="B270" s="172"/>
      <c r="C270" s="173"/>
      <c r="D270" s="166"/>
      <c r="E270" s="44"/>
      <c r="F270" s="114" t="s">
        <v>139</v>
      </c>
      <c r="G270" s="114"/>
      <c r="H270" s="174">
        <v>2.5</v>
      </c>
      <c r="I270" s="175">
        <v>1</v>
      </c>
      <c r="J270" s="166"/>
      <c r="K270" s="166"/>
      <c r="L270" s="166"/>
      <c r="M270" s="166"/>
      <c r="N270" s="166"/>
      <c r="O270" s="166"/>
      <c r="P270" s="166"/>
      <c r="Q270" s="166"/>
      <c r="R270" s="166"/>
    </row>
    <row r="271" spans="1:18" s="1" customFormat="1" ht="14.25">
      <c r="A271" s="166"/>
      <c r="B271" s="172"/>
      <c r="C271" s="173"/>
      <c r="D271" s="166"/>
      <c r="E271" s="44"/>
      <c r="F271" s="114" t="s">
        <v>133</v>
      </c>
      <c r="G271" s="114"/>
      <c r="H271" s="176">
        <f>F77</f>
        <v>419.22</v>
      </c>
      <c r="I271" s="177">
        <f>F77</f>
        <v>419.22</v>
      </c>
      <c r="J271" s="166"/>
      <c r="K271" s="166"/>
      <c r="L271" s="166"/>
      <c r="M271" s="166"/>
      <c r="N271" s="166"/>
      <c r="O271" s="166"/>
      <c r="P271" s="166"/>
      <c r="Q271" s="166"/>
      <c r="R271" s="166"/>
    </row>
    <row r="272" spans="1:18" s="1" customFormat="1" ht="14.25">
      <c r="A272" s="166"/>
      <c r="B272" s="172"/>
      <c r="C272" s="173"/>
      <c r="D272" s="166"/>
      <c r="E272" s="44"/>
      <c r="F272" s="44"/>
      <c r="G272" s="44"/>
      <c r="H272" s="178"/>
      <c r="I272" s="178"/>
      <c r="J272" s="166"/>
      <c r="K272" s="166"/>
      <c r="L272" s="166"/>
      <c r="M272" s="166"/>
      <c r="N272" s="166"/>
      <c r="O272" s="166"/>
      <c r="P272" s="166"/>
      <c r="Q272" s="166"/>
      <c r="R272" s="166"/>
    </row>
    <row r="273" spans="1:18" s="1" customFormat="1" ht="14.25">
      <c r="A273" s="166"/>
      <c r="B273" s="585" t="s">
        <v>153</v>
      </c>
      <c r="C273" s="586"/>
      <c r="D273" s="586"/>
      <c r="E273" s="44"/>
      <c r="F273" s="44"/>
      <c r="G273" s="44"/>
      <c r="H273" s="178"/>
      <c r="I273" s="178"/>
      <c r="J273" s="166"/>
      <c r="K273" s="166"/>
      <c r="L273" s="166"/>
      <c r="M273" s="166"/>
      <c r="N273" s="166"/>
      <c r="O273" s="166"/>
      <c r="P273" s="166"/>
      <c r="Q273" s="166"/>
      <c r="R273" s="166"/>
    </row>
    <row r="274" spans="1:18" s="1" customFormat="1" ht="14.25">
      <c r="A274" s="166"/>
      <c r="B274" s="172"/>
      <c r="C274" s="173"/>
      <c r="D274" s="166"/>
      <c r="E274" s="44"/>
      <c r="F274" s="44"/>
      <c r="G274" s="44"/>
      <c r="H274" s="178"/>
      <c r="I274" s="178"/>
      <c r="J274" s="72">
        <v>2011</v>
      </c>
      <c r="K274" s="72">
        <v>2012</v>
      </c>
      <c r="L274" s="166"/>
      <c r="M274" s="166"/>
      <c r="N274" s="166"/>
      <c r="O274" s="166"/>
      <c r="P274" s="166"/>
      <c r="Q274" s="166"/>
      <c r="R274" s="166"/>
    </row>
    <row r="275" spans="1:18" s="1" customFormat="1" ht="14.25">
      <c r="A275" s="166"/>
      <c r="B275" s="172"/>
      <c r="C275" s="173"/>
      <c r="D275" s="166"/>
      <c r="E275" s="44" t="s">
        <v>212</v>
      </c>
      <c r="F275" s="44"/>
      <c r="G275" s="44"/>
      <c r="H275" s="166"/>
      <c r="I275" s="166"/>
      <c r="J275" s="167">
        <f>'Simular IRS 2012'!I111+'Simular IRS 2012'!J81</f>
        <v>0</v>
      </c>
      <c r="K275" s="167">
        <f>'Simular IRS 2012'!I111+'Simular IRS 2012'!J81</f>
        <v>0</v>
      </c>
      <c r="L275" s="166"/>
      <c r="M275" s="166"/>
      <c r="N275" s="166"/>
      <c r="O275" s="166"/>
      <c r="P275" s="166"/>
      <c r="Q275" s="166"/>
      <c r="R275" s="166"/>
    </row>
    <row r="276" spans="1:18" s="1" customFormat="1" ht="14.25">
      <c r="A276" s="166"/>
      <c r="B276" s="172"/>
      <c r="C276" s="173"/>
      <c r="D276" s="166"/>
      <c r="E276" s="44" t="s">
        <v>138</v>
      </c>
      <c r="F276" s="44"/>
      <c r="G276" s="44"/>
      <c r="H276" s="166"/>
      <c r="I276" s="166"/>
      <c r="J276" s="169">
        <v>0.25</v>
      </c>
      <c r="K276" s="169">
        <v>0.25</v>
      </c>
      <c r="L276" s="166"/>
      <c r="M276" s="166"/>
      <c r="N276" s="166"/>
      <c r="O276" s="166"/>
      <c r="P276" s="166"/>
      <c r="Q276" s="166"/>
      <c r="R276" s="166"/>
    </row>
    <row r="277" spans="1:18" s="1" customFormat="1" ht="14.25">
      <c r="A277" s="166"/>
      <c r="B277" s="172"/>
      <c r="C277" s="173"/>
      <c r="D277" s="166"/>
      <c r="E277" s="44" t="s">
        <v>140</v>
      </c>
      <c r="F277" s="44"/>
      <c r="G277" s="44"/>
      <c r="H277" s="166"/>
      <c r="I277" s="166"/>
      <c r="J277" s="167">
        <f>H281*H282</f>
        <v>403.75</v>
      </c>
      <c r="K277" s="167">
        <f>I281*I282</f>
        <v>403.75</v>
      </c>
      <c r="L277" s="166"/>
      <c r="M277" s="166"/>
      <c r="N277" s="166"/>
      <c r="O277" s="166"/>
      <c r="P277" s="166"/>
      <c r="Q277" s="166"/>
      <c r="R277" s="166"/>
    </row>
    <row r="278" spans="1:18" s="1" customFormat="1" ht="14.25">
      <c r="A278" s="166"/>
      <c r="B278" s="172"/>
      <c r="C278" s="173"/>
      <c r="D278" s="166"/>
      <c r="E278" s="50" t="s">
        <v>141</v>
      </c>
      <c r="F278" s="50"/>
      <c r="G278" s="50"/>
      <c r="H278" s="170"/>
      <c r="I278" s="170"/>
      <c r="J278" s="171">
        <f>MIN(J277,J275*J276)</f>
        <v>0</v>
      </c>
      <c r="K278" s="171">
        <f>MIN(K277,K275*K276)</f>
        <v>0</v>
      </c>
      <c r="L278" s="166"/>
      <c r="M278" s="166"/>
      <c r="N278" s="166"/>
      <c r="O278" s="166"/>
      <c r="P278" s="166"/>
      <c r="Q278" s="166"/>
      <c r="R278" s="166"/>
    </row>
    <row r="279" spans="1:18" s="1" customFormat="1" ht="14.25">
      <c r="A279" s="166"/>
      <c r="B279" s="172"/>
      <c r="C279" s="173"/>
      <c r="D279" s="166"/>
      <c r="E279" s="44"/>
      <c r="F279" s="44"/>
      <c r="G279" s="44"/>
      <c r="H279" s="166"/>
      <c r="I279" s="166"/>
      <c r="J279" s="166"/>
      <c r="K279" s="166"/>
      <c r="L279" s="166"/>
      <c r="M279" s="166"/>
      <c r="N279" s="166"/>
      <c r="O279" s="166"/>
      <c r="P279" s="166"/>
      <c r="Q279" s="166"/>
      <c r="R279" s="166"/>
    </row>
    <row r="280" spans="1:18" s="1" customFormat="1" ht="14.25">
      <c r="A280" s="166"/>
      <c r="B280" s="172"/>
      <c r="C280" s="173"/>
      <c r="D280" s="166"/>
      <c r="E280" s="44"/>
      <c r="F280" s="114"/>
      <c r="G280" s="114"/>
      <c r="H280" s="174">
        <v>2011</v>
      </c>
      <c r="I280" s="174">
        <v>2012</v>
      </c>
      <c r="J280" s="166"/>
      <c r="K280" s="166"/>
      <c r="L280" s="166"/>
      <c r="M280" s="166"/>
      <c r="N280" s="166"/>
      <c r="O280" s="166"/>
      <c r="P280" s="166"/>
      <c r="Q280" s="166"/>
      <c r="R280" s="166"/>
    </row>
    <row r="281" spans="1:18" s="1" customFormat="1" ht="14.25">
      <c r="A281" s="166"/>
      <c r="B281" s="172"/>
      <c r="C281" s="173"/>
      <c r="D281" s="166"/>
      <c r="E281" s="166"/>
      <c r="F281" s="114" t="s">
        <v>139</v>
      </c>
      <c r="G281" s="114"/>
      <c r="H281" s="179">
        <v>0.85</v>
      </c>
      <c r="I281" s="179">
        <v>0.85</v>
      </c>
      <c r="J281" s="166"/>
      <c r="K281" s="166"/>
      <c r="L281" s="166"/>
      <c r="M281" s="166"/>
      <c r="N281" s="166"/>
      <c r="O281" s="166"/>
      <c r="P281" s="166"/>
      <c r="Q281" s="166"/>
      <c r="R281" s="166"/>
    </row>
    <row r="282" spans="1:18" s="1" customFormat="1" ht="14.25">
      <c r="A282" s="166"/>
      <c r="B282" s="172"/>
      <c r="C282" s="173"/>
      <c r="D282" s="166"/>
      <c r="E282" s="166"/>
      <c r="F282" s="114" t="s">
        <v>155</v>
      </c>
      <c r="G282" s="114"/>
      <c r="H282" s="176">
        <f>F75</f>
        <v>475</v>
      </c>
      <c r="I282" s="176">
        <f>F75</f>
        <v>475</v>
      </c>
      <c r="J282" s="166"/>
      <c r="K282" s="166"/>
      <c r="L282" s="166"/>
      <c r="M282" s="166"/>
      <c r="N282" s="166"/>
      <c r="O282" s="166"/>
      <c r="P282" s="166"/>
      <c r="Q282" s="166"/>
      <c r="R282" s="166"/>
    </row>
    <row r="283" spans="1:18" s="1" customFormat="1" ht="14.25">
      <c r="A283" s="180"/>
      <c r="B283" s="181"/>
      <c r="C283" s="182"/>
      <c r="D283" s="180"/>
      <c r="E283" s="180"/>
      <c r="F283" s="183"/>
      <c r="G283" s="183"/>
      <c r="H283" s="184"/>
      <c r="I283" s="184"/>
      <c r="J283" s="180"/>
      <c r="K283" s="180"/>
      <c r="L283" s="180"/>
      <c r="M283" s="180"/>
      <c r="N283" s="180"/>
      <c r="O283" s="180"/>
      <c r="P283" s="180"/>
      <c r="Q283" s="180"/>
      <c r="R283" s="180"/>
    </row>
    <row r="284" spans="2:18" s="1" customFormat="1" ht="14.25" customHeight="1">
      <c r="B284" s="599" t="s">
        <v>56</v>
      </c>
      <c r="C284" s="599"/>
      <c r="D284" s="599"/>
      <c r="E284" s="599"/>
      <c r="F284" s="599"/>
      <c r="G284" s="40"/>
      <c r="H284" s="40"/>
      <c r="I284" s="40"/>
      <c r="J284" s="40"/>
      <c r="K284" s="40"/>
      <c r="L284" s="40"/>
      <c r="M284" s="40"/>
      <c r="N284" s="40"/>
      <c r="O284" s="40"/>
      <c r="P284" s="40"/>
      <c r="Q284" s="40"/>
      <c r="R284" s="40"/>
    </row>
    <row r="285" spans="2:18" s="1" customFormat="1" ht="15" thickBot="1">
      <c r="B285" s="40"/>
      <c r="C285" s="40"/>
      <c r="D285" s="40"/>
      <c r="E285" s="40"/>
      <c r="F285" s="40"/>
      <c r="G285" s="40"/>
      <c r="H285" s="40"/>
      <c r="I285" s="40"/>
      <c r="J285" s="72">
        <v>2011</v>
      </c>
      <c r="K285" s="72">
        <v>2012</v>
      </c>
      <c r="L285" s="40"/>
      <c r="M285" s="40"/>
      <c r="N285" s="40"/>
      <c r="O285" s="40"/>
      <c r="P285" s="40"/>
      <c r="Q285" s="40"/>
      <c r="R285" s="40"/>
    </row>
    <row r="286" spans="2:18" s="1" customFormat="1" ht="15" thickBot="1">
      <c r="B286" s="40"/>
      <c r="C286" s="40"/>
      <c r="D286" s="40"/>
      <c r="E286" s="44" t="s">
        <v>247</v>
      </c>
      <c r="H286" s="40"/>
      <c r="J286" s="121">
        <f>J208+J217+J278+J267+J257</f>
        <v>0</v>
      </c>
      <c r="K286" s="121">
        <f>K208+K217+K267+K278+K257</f>
        <v>0</v>
      </c>
      <c r="L286" s="40"/>
      <c r="N286" s="40"/>
      <c r="O286" s="40"/>
      <c r="P286" s="40"/>
      <c r="Q286" s="40"/>
      <c r="R286" s="40"/>
    </row>
    <row r="287" spans="2:18" s="1" customFormat="1" ht="15" thickBot="1">
      <c r="B287" s="40"/>
      <c r="C287" s="40"/>
      <c r="D287" s="40"/>
      <c r="E287" s="44" t="s">
        <v>128</v>
      </c>
      <c r="H287" s="40"/>
      <c r="J287" s="121">
        <f>J24</f>
        <v>0</v>
      </c>
      <c r="K287" s="185">
        <f>K24</f>
        <v>0</v>
      </c>
      <c r="L287" s="40"/>
      <c r="N287" s="40"/>
      <c r="O287" s="40"/>
      <c r="P287" s="40"/>
      <c r="Q287" s="40"/>
      <c r="R287" s="40"/>
    </row>
    <row r="288" spans="2:18" s="1" customFormat="1" ht="15" thickBot="1">
      <c r="B288" s="40"/>
      <c r="C288" s="40"/>
      <c r="D288" s="40"/>
      <c r="E288" s="44" t="s">
        <v>246</v>
      </c>
      <c r="F288" s="40"/>
      <c r="G288" s="40"/>
      <c r="H288" s="40"/>
      <c r="J288" s="121">
        <f>VLOOKUP(J287,$E$294:$G$301,3,TRUE)</f>
        <v>9.99999999999999E+57</v>
      </c>
      <c r="K288" s="186">
        <f>VLOOKUP(K287,I294:L301,4,TRUE)</f>
        <v>9.99999999999999E+42</v>
      </c>
      <c r="L288" s="40"/>
      <c r="M288" s="40"/>
      <c r="N288" s="40"/>
      <c r="O288" s="40"/>
      <c r="P288" s="40"/>
      <c r="Q288" s="40"/>
      <c r="R288" s="40"/>
    </row>
    <row r="289" spans="2:18" s="1" customFormat="1" ht="15.75" thickBot="1">
      <c r="B289" s="40"/>
      <c r="C289" s="40"/>
      <c r="D289" s="40"/>
      <c r="E289" s="50" t="str">
        <f>IF(K286&gt;K288,E288,E286)</f>
        <v>SOMA DAS DEDUÇÕES (saúde+educação+C.Hab+pensões de alimentos)</v>
      </c>
      <c r="F289" s="50"/>
      <c r="G289" s="50"/>
      <c r="H289" s="50"/>
      <c r="I289" s="187"/>
      <c r="J289" s="188">
        <f>IF(($J$286-J267)&gt;J288,$J$288+J267,$J$286)</f>
        <v>0</v>
      </c>
      <c r="K289" s="189">
        <f>IF($K$286&gt;$K$288,$K$288,$K$286)</f>
        <v>0</v>
      </c>
      <c r="N289" s="40"/>
      <c r="O289" s="40"/>
      <c r="P289" s="40"/>
      <c r="Q289" s="40"/>
      <c r="R289" s="40"/>
    </row>
    <row r="290" spans="2:18" s="1" customFormat="1" ht="14.25">
      <c r="B290" s="40"/>
      <c r="C290" s="40"/>
      <c r="D290" s="40"/>
      <c r="E290" s="50" t="str">
        <f>IF(K287&gt;K289,E289,E287)</f>
        <v>Colecta</v>
      </c>
      <c r="H290" s="40"/>
      <c r="I290" s="40"/>
      <c r="J290" s="40"/>
      <c r="K290" s="40"/>
      <c r="L290" s="40"/>
      <c r="M290" s="40"/>
      <c r="N290" s="40"/>
      <c r="O290" s="40"/>
      <c r="P290" s="40"/>
      <c r="Q290" s="40"/>
      <c r="R290" s="40"/>
    </row>
    <row r="291" spans="2:18" s="1" customFormat="1" ht="14.25">
      <c r="B291" s="40"/>
      <c r="C291" s="40"/>
      <c r="E291" s="114" t="s">
        <v>119</v>
      </c>
      <c r="F291" s="118"/>
      <c r="G291" s="118"/>
      <c r="H291" s="85"/>
      <c r="I291" s="85"/>
      <c r="J291" s="118"/>
      <c r="K291" s="118"/>
      <c r="L291" s="85"/>
      <c r="M291" s="40"/>
      <c r="N291" s="40"/>
      <c r="O291" s="40"/>
      <c r="P291" s="40"/>
      <c r="Q291" s="40"/>
      <c r="R291" s="40"/>
    </row>
    <row r="292" spans="2:18" s="1" customFormat="1" ht="15" thickBot="1">
      <c r="B292" s="40"/>
      <c r="C292" s="40"/>
      <c r="E292" s="606">
        <v>2011</v>
      </c>
      <c r="F292" s="606"/>
      <c r="G292" s="606"/>
      <c r="H292" s="85"/>
      <c r="I292" s="606">
        <v>2012</v>
      </c>
      <c r="J292" s="606"/>
      <c r="K292" s="606"/>
      <c r="L292" s="118"/>
      <c r="P292" s="40"/>
      <c r="Q292" s="40"/>
      <c r="R292" s="40"/>
    </row>
    <row r="293" spans="2:18" s="1" customFormat="1" ht="15" thickBot="1">
      <c r="B293" s="40"/>
      <c r="C293" s="40"/>
      <c r="E293" s="604" t="s">
        <v>120</v>
      </c>
      <c r="F293" s="605"/>
      <c r="G293" s="190" t="s">
        <v>37</v>
      </c>
      <c r="H293" s="85"/>
      <c r="I293" s="604" t="s">
        <v>143</v>
      </c>
      <c r="J293" s="605"/>
      <c r="K293" s="190" t="s">
        <v>37</v>
      </c>
      <c r="L293" s="190" t="s">
        <v>37</v>
      </c>
      <c r="P293" s="40"/>
      <c r="Q293" s="40"/>
      <c r="R293" s="40"/>
    </row>
    <row r="294" spans="2:18" s="1" customFormat="1" ht="14.25">
      <c r="B294" s="40"/>
      <c r="C294" s="40"/>
      <c r="E294" s="191">
        <v>0</v>
      </c>
      <c r="F294" s="192">
        <v>4898</v>
      </c>
      <c r="G294" s="193">
        <v>9.99999999999999E+57</v>
      </c>
      <c r="H294" s="85"/>
      <c r="I294" s="191">
        <f>H83</f>
        <v>0</v>
      </c>
      <c r="J294" s="192">
        <f>I83</f>
        <v>4898</v>
      </c>
      <c r="K294" s="194">
        <v>9.99999999999999E+42</v>
      </c>
      <c r="L294" s="194">
        <v>9.99999999999999E+42</v>
      </c>
      <c r="P294" s="40"/>
      <c r="Q294" s="40"/>
      <c r="R294" s="40"/>
    </row>
    <row r="295" spans="2:18" s="1" customFormat="1" ht="14.25">
      <c r="B295" s="40"/>
      <c r="C295" s="40"/>
      <c r="E295" s="195">
        <v>4898</v>
      </c>
      <c r="F295" s="196">
        <v>7410</v>
      </c>
      <c r="G295" s="197">
        <v>9.99999999999999E+57</v>
      </c>
      <c r="H295" s="85"/>
      <c r="I295" s="195">
        <f aca="true" t="shared" si="1" ref="I295:J301">H84</f>
        <v>4898</v>
      </c>
      <c r="J295" s="196">
        <f t="shared" si="1"/>
        <v>7410</v>
      </c>
      <c r="K295" s="194">
        <v>9.99999999999999E+42</v>
      </c>
      <c r="L295" s="194">
        <v>9.99999999999999E+42</v>
      </c>
      <c r="P295" s="40"/>
      <c r="Q295" s="40"/>
      <c r="R295" s="40"/>
    </row>
    <row r="296" spans="2:18" s="1" customFormat="1" ht="14.25">
      <c r="B296" s="40"/>
      <c r="C296" s="40"/>
      <c r="E296" s="195">
        <v>7410</v>
      </c>
      <c r="F296" s="196">
        <v>18375</v>
      </c>
      <c r="G296" s="197">
        <v>9.99999999999999E+57</v>
      </c>
      <c r="H296" s="85"/>
      <c r="I296" s="195">
        <f t="shared" si="1"/>
        <v>7410</v>
      </c>
      <c r="J296" s="196">
        <f t="shared" si="1"/>
        <v>18375</v>
      </c>
      <c r="K296" s="198">
        <f>1250</f>
        <v>1250</v>
      </c>
      <c r="L296" s="194">
        <f aca="true" t="shared" si="2" ref="L296:L301">K296+K296*0.1*$F$71</f>
        <v>1250</v>
      </c>
      <c r="P296" s="40"/>
      <c r="Q296" s="40"/>
      <c r="R296" s="40"/>
    </row>
    <row r="297" spans="2:18" s="1" customFormat="1" ht="14.25">
      <c r="B297" s="40"/>
      <c r="C297" s="40"/>
      <c r="E297" s="195">
        <v>18375</v>
      </c>
      <c r="F297" s="196">
        <v>42259</v>
      </c>
      <c r="G297" s="197">
        <v>9.99999999999999E+57</v>
      </c>
      <c r="H297" s="85"/>
      <c r="I297" s="195">
        <f t="shared" si="1"/>
        <v>18375</v>
      </c>
      <c r="J297" s="196">
        <f t="shared" si="1"/>
        <v>42259</v>
      </c>
      <c r="K297" s="198">
        <f>1200</f>
        <v>1200</v>
      </c>
      <c r="L297" s="194">
        <f t="shared" si="2"/>
        <v>1200</v>
      </c>
      <c r="P297" s="40"/>
      <c r="Q297" s="40"/>
      <c r="R297" s="40"/>
    </row>
    <row r="298" spans="2:18" s="1" customFormat="1" ht="14.25">
      <c r="B298" s="40"/>
      <c r="C298" s="40"/>
      <c r="E298" s="195">
        <v>42259</v>
      </c>
      <c r="F298" s="196">
        <v>61244</v>
      </c>
      <c r="G298" s="197">
        <v>9.99999999999999E+57</v>
      </c>
      <c r="H298" s="85"/>
      <c r="I298" s="195">
        <f t="shared" si="1"/>
        <v>42259</v>
      </c>
      <c r="J298" s="196">
        <f t="shared" si="1"/>
        <v>61244</v>
      </c>
      <c r="K298" s="198">
        <f>1150</f>
        <v>1150</v>
      </c>
      <c r="L298" s="194">
        <f t="shared" si="2"/>
        <v>1150</v>
      </c>
      <c r="P298" s="40"/>
      <c r="Q298" s="40"/>
      <c r="R298" s="40"/>
    </row>
    <row r="299" spans="2:18" s="1" customFormat="1" ht="14.25">
      <c r="B299" s="40"/>
      <c r="C299" s="40"/>
      <c r="E299" s="195">
        <v>61244</v>
      </c>
      <c r="F299" s="196">
        <v>66045</v>
      </c>
      <c r="G299" s="197">
        <v>9.99999999999999E+57</v>
      </c>
      <c r="H299" s="85"/>
      <c r="I299" s="195">
        <f t="shared" si="1"/>
        <v>61244</v>
      </c>
      <c r="J299" s="196">
        <f t="shared" si="1"/>
        <v>66045</v>
      </c>
      <c r="K299" s="198">
        <f>1100</f>
        <v>1100</v>
      </c>
      <c r="L299" s="194">
        <f t="shared" si="2"/>
        <v>1100</v>
      </c>
      <c r="P299" s="40"/>
      <c r="Q299" s="40"/>
      <c r="R299" s="40"/>
    </row>
    <row r="300" spans="2:18" s="1" customFormat="1" ht="14.25">
      <c r="B300" s="40"/>
      <c r="C300" s="40"/>
      <c r="E300" s="195">
        <v>66045</v>
      </c>
      <c r="F300" s="199">
        <v>153300</v>
      </c>
      <c r="G300" s="200">
        <f>IF(F305&gt;E306,E306,F305)</f>
        <v>0</v>
      </c>
      <c r="H300" s="600" t="s">
        <v>77</v>
      </c>
      <c r="I300" s="195">
        <f t="shared" si="1"/>
        <v>66045</v>
      </c>
      <c r="J300" s="199">
        <f t="shared" si="1"/>
        <v>153300</v>
      </c>
      <c r="K300" s="201">
        <v>0</v>
      </c>
      <c r="L300" s="194">
        <f t="shared" si="2"/>
        <v>0</v>
      </c>
      <c r="P300" s="40"/>
      <c r="Q300" s="40"/>
      <c r="R300" s="40"/>
    </row>
    <row r="301" spans="2:18" s="1" customFormat="1" ht="15" thickBot="1">
      <c r="B301" s="40"/>
      <c r="C301" s="40"/>
      <c r="E301" s="202">
        <v>153300</v>
      </c>
      <c r="F301" s="203">
        <v>9.99999999999999E+57</v>
      </c>
      <c r="G301" s="204">
        <v>1100</v>
      </c>
      <c r="H301" s="600"/>
      <c r="I301" s="202">
        <f t="shared" si="1"/>
        <v>153300</v>
      </c>
      <c r="J301" s="203">
        <f t="shared" si="1"/>
        <v>999999999</v>
      </c>
      <c r="K301" s="205">
        <v>0</v>
      </c>
      <c r="L301" s="194">
        <f t="shared" si="2"/>
        <v>0</v>
      </c>
      <c r="P301" s="40"/>
      <c r="Q301" s="40"/>
      <c r="R301" s="40"/>
    </row>
    <row r="302" spans="2:18" s="1" customFormat="1" ht="15" thickBot="1">
      <c r="B302" s="40"/>
      <c r="C302" s="40"/>
      <c r="E302" s="118"/>
      <c r="F302" s="118"/>
      <c r="G302" s="118"/>
      <c r="H302" s="118"/>
      <c r="I302" s="118"/>
      <c r="J302" s="118"/>
      <c r="K302" s="118"/>
      <c r="L302" s="118"/>
      <c r="P302" s="40"/>
      <c r="Q302" s="40"/>
      <c r="R302" s="40"/>
    </row>
    <row r="303" spans="2:18" s="1" customFormat="1" ht="15" thickBot="1">
      <c r="B303" s="40"/>
      <c r="C303" s="40"/>
      <c r="E303" s="601" t="s">
        <v>102</v>
      </c>
      <c r="F303" s="602"/>
      <c r="G303" s="85"/>
      <c r="H303" s="118"/>
      <c r="I303" s="118"/>
      <c r="J303" s="118"/>
      <c r="K303" s="118"/>
      <c r="L303" s="118"/>
      <c r="P303" s="40"/>
      <c r="Q303" s="40"/>
      <c r="R303" s="40"/>
    </row>
    <row r="304" spans="2:18" s="1" customFormat="1" ht="14.25">
      <c r="B304" s="40"/>
      <c r="C304" s="40"/>
      <c r="E304" s="206" t="s">
        <v>101</v>
      </c>
      <c r="F304" s="207">
        <f>J24</f>
        <v>0</v>
      </c>
      <c r="G304" s="114">
        <f>66045*E305</f>
        <v>1096.347</v>
      </c>
      <c r="H304" s="118"/>
      <c r="I304" s="118"/>
      <c r="J304" s="118"/>
      <c r="K304" s="118"/>
      <c r="L304" s="118"/>
      <c r="P304" s="40"/>
      <c r="Q304" s="40"/>
      <c r="R304" s="40"/>
    </row>
    <row r="305" spans="2:18" s="1" customFormat="1" ht="14.25">
      <c r="B305" s="40"/>
      <c r="C305" s="40"/>
      <c r="E305" s="208">
        <v>0.0166</v>
      </c>
      <c r="F305" s="209">
        <f>F304*E305</f>
        <v>0</v>
      </c>
      <c r="G305" s="85"/>
      <c r="H305" s="118"/>
      <c r="I305" s="118"/>
      <c r="J305" s="118"/>
      <c r="K305" s="118"/>
      <c r="L305" s="118"/>
      <c r="P305" s="40"/>
      <c r="Q305" s="40"/>
      <c r="R305" s="40"/>
    </row>
    <row r="306" spans="2:18" s="1" customFormat="1" ht="15" thickBot="1">
      <c r="B306" s="40"/>
      <c r="C306" s="40"/>
      <c r="E306" s="210">
        <v>1100</v>
      </c>
      <c r="F306" s="203"/>
      <c r="G306" s="85"/>
      <c r="H306" s="118"/>
      <c r="I306" s="118"/>
      <c r="J306" s="118"/>
      <c r="K306" s="118"/>
      <c r="L306" s="118"/>
      <c r="P306" s="40"/>
      <c r="Q306" s="40"/>
      <c r="R306" s="40"/>
    </row>
    <row r="307" spans="2:18" s="1" customFormat="1" ht="14.25">
      <c r="B307" s="40"/>
      <c r="C307" s="40"/>
      <c r="H307" s="40"/>
      <c r="I307" s="40"/>
      <c r="J307" s="40"/>
      <c r="K307" s="40"/>
      <c r="L307" s="40"/>
      <c r="M307" s="40"/>
      <c r="N307" s="40"/>
      <c r="O307" s="40"/>
      <c r="P307" s="40"/>
      <c r="Q307" s="40"/>
      <c r="R307" s="40"/>
    </row>
    <row r="308" spans="2:18" s="1" customFormat="1" ht="15" thickBot="1">
      <c r="B308" s="40"/>
      <c r="C308" s="40"/>
      <c r="D308" s="40"/>
      <c r="E308" s="40"/>
      <c r="F308" s="40"/>
      <c r="G308" s="40"/>
      <c r="H308" s="40"/>
      <c r="I308" s="40"/>
      <c r="J308" s="40"/>
      <c r="K308" s="40"/>
      <c r="L308" s="40"/>
      <c r="M308" s="40"/>
      <c r="N308" s="40"/>
      <c r="O308" s="40"/>
      <c r="P308" s="40"/>
      <c r="Q308" s="40"/>
      <c r="R308" s="40"/>
    </row>
    <row r="309" spans="2:18" s="1" customFormat="1" ht="15" thickBot="1">
      <c r="B309" s="591" t="s">
        <v>116</v>
      </c>
      <c r="C309" s="592"/>
      <c r="D309" s="593"/>
      <c r="E309" s="40"/>
      <c r="F309" s="40"/>
      <c r="G309" s="40"/>
      <c r="H309" s="40"/>
      <c r="I309" s="40"/>
      <c r="J309" s="40"/>
      <c r="K309" s="40"/>
      <c r="L309" s="40"/>
      <c r="M309" s="40"/>
      <c r="N309" s="40"/>
      <c r="O309" s="40"/>
      <c r="P309" s="40"/>
      <c r="Q309" s="40"/>
      <c r="R309" s="40"/>
    </row>
    <row r="310" spans="2:18" s="1" customFormat="1" ht="14.25">
      <c r="B310" s="40"/>
      <c r="C310" s="40"/>
      <c r="D310" s="40"/>
      <c r="E310" s="40"/>
      <c r="F310" s="40"/>
      <c r="G310" s="40"/>
      <c r="H310" s="40"/>
      <c r="I310" s="40"/>
      <c r="M310" s="40"/>
      <c r="N310" s="40"/>
      <c r="O310" s="40"/>
      <c r="P310" s="40"/>
      <c r="Q310" s="40"/>
      <c r="R310" s="40"/>
    </row>
    <row r="311" spans="2:18" s="1" customFormat="1" ht="14.25">
      <c r="B311" s="40"/>
      <c r="C311" s="40"/>
      <c r="D311" s="40"/>
      <c r="E311" s="40"/>
      <c r="F311" s="40"/>
      <c r="G311" s="40"/>
      <c r="H311" s="40"/>
      <c r="I311" s="40"/>
      <c r="M311" s="40"/>
      <c r="N311" s="40"/>
      <c r="O311" s="40"/>
      <c r="P311" s="40"/>
      <c r="Q311" s="40"/>
      <c r="R311" s="40"/>
    </row>
    <row r="312" spans="2:18" s="1" customFormat="1" ht="14.25">
      <c r="B312" s="585" t="s">
        <v>115</v>
      </c>
      <c r="C312" s="586" t="s">
        <v>54</v>
      </c>
      <c r="D312" s="586"/>
      <c r="E312" s="40"/>
      <c r="F312" s="40"/>
      <c r="G312" s="40"/>
      <c r="H312" s="40"/>
      <c r="I312" s="40"/>
      <c r="J312" s="40"/>
      <c r="P312" s="40"/>
      <c r="Q312" s="40"/>
      <c r="R312" s="40"/>
    </row>
    <row r="313" spans="2:18" s="1" customFormat="1" ht="14.25">
      <c r="B313" s="40"/>
      <c r="C313" s="40"/>
      <c r="D313" s="40"/>
      <c r="E313" s="40"/>
      <c r="F313" s="40"/>
      <c r="G313" s="40"/>
      <c r="J313" s="72">
        <v>2011</v>
      </c>
      <c r="K313" s="72">
        <v>2012</v>
      </c>
      <c r="P313" s="40"/>
      <c r="Q313" s="40"/>
      <c r="R313" s="40"/>
    </row>
    <row r="314" spans="2:18" s="1" customFormat="1" ht="14.25">
      <c r="B314" s="40"/>
      <c r="E314" s="45" t="s">
        <v>20</v>
      </c>
      <c r="F314" s="45"/>
      <c r="G314" s="40"/>
      <c r="J314" s="329">
        <f>'Simular IRS 2012'!J85+'Simular IRS 2012'!I115</f>
        <v>0</v>
      </c>
      <c r="K314" s="211">
        <f>'Simular IRS 2012'!J85+'Simular IRS 2012'!I115</f>
        <v>0</v>
      </c>
      <c r="P314" s="40"/>
      <c r="Q314" s="40"/>
      <c r="R314" s="40"/>
    </row>
    <row r="315" spans="2:18" s="1" customFormat="1" ht="14.25">
      <c r="B315" s="40"/>
      <c r="E315" s="594" t="s">
        <v>111</v>
      </c>
      <c r="F315" s="594"/>
      <c r="G315" s="40"/>
      <c r="J315" s="330">
        <v>0.3</v>
      </c>
      <c r="K315" s="212">
        <v>0.1</v>
      </c>
      <c r="L315" s="40"/>
      <c r="M315" s="40"/>
      <c r="N315" s="40"/>
      <c r="O315" s="40"/>
      <c r="P315" s="40"/>
      <c r="Q315" s="40"/>
      <c r="R315" s="40"/>
    </row>
    <row r="316" spans="2:18" s="1" customFormat="1" ht="14.25">
      <c r="B316" s="40"/>
      <c r="E316" s="45" t="s">
        <v>34</v>
      </c>
      <c r="F316" s="45"/>
      <c r="G316" s="40"/>
      <c r="J316" s="329">
        <f>$J$314*J315</f>
        <v>0</v>
      </c>
      <c r="K316" s="211">
        <f>K314*K315</f>
        <v>0</v>
      </c>
      <c r="L316" s="40"/>
      <c r="M316" s="40"/>
      <c r="N316" s="40"/>
      <c r="O316" s="40"/>
      <c r="P316" s="40"/>
      <c r="Q316" s="40"/>
      <c r="R316" s="40"/>
    </row>
    <row r="317" spans="2:18" s="1" customFormat="1" ht="15" thickBot="1">
      <c r="B317" s="40"/>
      <c r="E317" s="45" t="s">
        <v>22</v>
      </c>
      <c r="F317" s="45"/>
      <c r="G317" s="40"/>
      <c r="J317" s="331">
        <f>VLOOKUP($F$68,$F$321:$G$323,2,FALSE)+(($F$69+$F$70)*$G$324)</f>
        <v>170</v>
      </c>
      <c r="K317" s="213">
        <f>VLOOKUP($F$68,$F$321:$H$323,3,FALSE)+(($F$69+$F$70)*$H$324)</f>
        <v>100</v>
      </c>
      <c r="L317" s="214"/>
      <c r="M317" s="214"/>
      <c r="N317" s="40"/>
      <c r="O317" s="40"/>
      <c r="P317" s="40"/>
      <c r="Q317" s="40"/>
      <c r="R317" s="40"/>
    </row>
    <row r="318" spans="2:18" s="1" customFormat="1" ht="15" thickBot="1">
      <c r="B318" s="40"/>
      <c r="E318" s="120" t="s">
        <v>53</v>
      </c>
      <c r="F318" s="45"/>
      <c r="G318" s="40"/>
      <c r="J318" s="332">
        <f>IF($J$316&gt;$J$317,$J$317,$J$316)</f>
        <v>0</v>
      </c>
      <c r="K318" s="215">
        <f>IF($K$316&gt;$K$317,$K$317,$K$316)</f>
        <v>0</v>
      </c>
      <c r="L318" s="214"/>
      <c r="M318" s="214"/>
      <c r="N318" s="40"/>
      <c r="O318" s="40"/>
      <c r="P318" s="40"/>
      <c r="Q318" s="40"/>
      <c r="R318" s="40"/>
    </row>
    <row r="319" spans="2:18" s="1" customFormat="1" ht="14.25">
      <c r="B319" s="40"/>
      <c r="C319" s="40"/>
      <c r="D319" s="40"/>
      <c r="E319" s="40"/>
      <c r="F319" s="40"/>
      <c r="G319" s="40"/>
      <c r="H319" s="99"/>
      <c r="I319" s="40"/>
      <c r="J319" s="40"/>
      <c r="K319" s="40"/>
      <c r="L319" s="214"/>
      <c r="M319" s="214"/>
      <c r="N319" s="40"/>
      <c r="O319" s="40"/>
      <c r="P319" s="40"/>
      <c r="Q319" s="40"/>
      <c r="R319" s="40"/>
    </row>
    <row r="320" spans="2:18" s="1" customFormat="1" ht="15" thickBot="1">
      <c r="B320" s="40"/>
      <c r="D320" s="216" t="s">
        <v>119</v>
      </c>
      <c r="E320" s="118"/>
      <c r="F320" s="118"/>
      <c r="G320" s="174">
        <v>2011</v>
      </c>
      <c r="H320" s="174">
        <v>2012</v>
      </c>
      <c r="I320" s="40"/>
      <c r="J320" s="40"/>
      <c r="K320" s="40"/>
      <c r="L320" s="214"/>
      <c r="M320" s="214"/>
      <c r="N320" s="40"/>
      <c r="O320" s="40"/>
      <c r="P320" s="40"/>
      <c r="Q320" s="40"/>
      <c r="R320" s="40"/>
    </row>
    <row r="321" spans="2:18" s="1" customFormat="1" ht="14.25">
      <c r="B321" s="40"/>
      <c r="D321" s="118"/>
      <c r="E321" s="217" t="s">
        <v>30</v>
      </c>
      <c r="F321" s="218">
        <v>1</v>
      </c>
      <c r="G321" s="219">
        <v>170</v>
      </c>
      <c r="H321" s="219">
        <v>100</v>
      </c>
      <c r="I321" s="40"/>
      <c r="J321" s="40"/>
      <c r="K321" s="40"/>
      <c r="L321" s="214"/>
      <c r="M321" s="214"/>
      <c r="N321" s="40"/>
      <c r="O321" s="40"/>
      <c r="P321" s="40"/>
      <c r="Q321" s="40"/>
      <c r="R321" s="40"/>
    </row>
    <row r="322" spans="2:18" s="1" customFormat="1" ht="14.25">
      <c r="B322" s="40"/>
      <c r="D322" s="118"/>
      <c r="E322" s="220" t="s">
        <v>31</v>
      </c>
      <c r="F322" s="221">
        <v>0</v>
      </c>
      <c r="G322" s="222">
        <v>85</v>
      </c>
      <c r="H322" s="222">
        <v>50</v>
      </c>
      <c r="I322" s="40"/>
      <c r="J322" s="40"/>
      <c r="K322" s="40"/>
      <c r="L322" s="214"/>
      <c r="M322" s="214"/>
      <c r="N322" s="40"/>
      <c r="O322" s="40"/>
      <c r="P322" s="40"/>
      <c r="Q322" s="40"/>
      <c r="R322" s="40"/>
    </row>
    <row r="323" spans="2:18" s="1" customFormat="1" ht="14.25">
      <c r="B323" s="40"/>
      <c r="D323" s="118"/>
      <c r="E323" s="273" t="s">
        <v>168</v>
      </c>
      <c r="F323" s="221">
        <v>2</v>
      </c>
      <c r="G323" s="222">
        <v>85</v>
      </c>
      <c r="H323" s="222">
        <v>50</v>
      </c>
      <c r="I323" s="40"/>
      <c r="J323" s="40"/>
      <c r="K323" s="40"/>
      <c r="L323" s="214"/>
      <c r="M323" s="214"/>
      <c r="N323" s="40"/>
      <c r="O323" s="40"/>
      <c r="P323" s="40"/>
      <c r="Q323" s="40"/>
      <c r="R323" s="40"/>
    </row>
    <row r="324" spans="2:18" s="1" customFormat="1" ht="15" thickBot="1">
      <c r="B324" s="40"/>
      <c r="D324" s="118"/>
      <c r="E324" s="223" t="s">
        <v>117</v>
      </c>
      <c r="F324" s="224"/>
      <c r="G324" s="225">
        <v>43</v>
      </c>
      <c r="H324" s="225">
        <v>25</v>
      </c>
      <c r="I324" s="40"/>
      <c r="J324" s="40"/>
      <c r="K324" s="40"/>
      <c r="L324" s="214"/>
      <c r="M324" s="214"/>
      <c r="N324" s="40"/>
      <c r="O324" s="40"/>
      <c r="P324" s="40"/>
      <c r="Q324" s="40"/>
      <c r="R324" s="40"/>
    </row>
    <row r="325" spans="2:18" s="1" customFormat="1" ht="14.25">
      <c r="B325" s="40"/>
      <c r="C325" s="40"/>
      <c r="D325" s="85"/>
      <c r="E325" s="85"/>
      <c r="F325" s="85"/>
      <c r="G325" s="85"/>
      <c r="H325" s="85"/>
      <c r="I325" s="40"/>
      <c r="J325" s="40"/>
      <c r="K325" s="40"/>
      <c r="L325" s="214"/>
      <c r="M325" s="214"/>
      <c r="N325" s="40"/>
      <c r="O325" s="40"/>
      <c r="P325" s="40"/>
      <c r="Q325" s="40"/>
      <c r="R325" s="40"/>
    </row>
    <row r="326" spans="2:18" s="1" customFormat="1" ht="14.25">
      <c r="B326" s="40"/>
      <c r="C326" s="40"/>
      <c r="D326" s="40"/>
      <c r="E326" s="40"/>
      <c r="F326" s="40"/>
      <c r="G326" s="40"/>
      <c r="H326" s="40"/>
      <c r="I326" s="40"/>
      <c r="J326" s="40"/>
      <c r="K326" s="40"/>
      <c r="L326" s="214"/>
      <c r="M326" s="214"/>
      <c r="N326" s="40"/>
      <c r="O326" s="40"/>
      <c r="P326" s="40"/>
      <c r="Q326" s="40"/>
      <c r="R326" s="40"/>
    </row>
    <row r="327" spans="2:18" s="1" customFormat="1" ht="14.25">
      <c r="B327" s="585" t="s">
        <v>55</v>
      </c>
      <c r="C327" s="586" t="s">
        <v>55</v>
      </c>
      <c r="D327" s="586"/>
      <c r="E327" s="40"/>
      <c r="H327" s="587" t="s">
        <v>58</v>
      </c>
      <c r="I327" s="587"/>
      <c r="K327" s="226" t="s">
        <v>59</v>
      </c>
      <c r="L327" s="40"/>
      <c r="M327" s="40"/>
      <c r="N327" s="40"/>
      <c r="O327" s="40"/>
      <c r="P327" s="40"/>
      <c r="Q327" s="40"/>
      <c r="R327" s="40"/>
    </row>
    <row r="328" spans="2:18" s="1" customFormat="1" ht="14.25">
      <c r="B328" s="40"/>
      <c r="E328" s="40"/>
      <c r="F328" s="40"/>
      <c r="G328" s="40"/>
      <c r="H328" s="46">
        <v>2011</v>
      </c>
      <c r="I328" s="46">
        <v>2012</v>
      </c>
      <c r="K328" s="46">
        <v>2011</v>
      </c>
      <c r="L328" s="46">
        <v>2012</v>
      </c>
      <c r="M328" s="40"/>
      <c r="N328" s="40"/>
      <c r="O328" s="40"/>
      <c r="P328" s="40"/>
      <c r="Q328" s="40"/>
      <c r="R328" s="40"/>
    </row>
    <row r="329" spans="2:18" s="1" customFormat="1" ht="14.25">
      <c r="B329" s="40"/>
      <c r="E329" s="45" t="s">
        <v>20</v>
      </c>
      <c r="F329" s="45"/>
      <c r="G329" s="40"/>
      <c r="H329" s="105">
        <f>'Simular IRS 2012'!I87+'Simular IRS 2012'!I117</f>
        <v>0</v>
      </c>
      <c r="I329" s="105">
        <f>'Simular IRS 2012'!I87+'Simular IRS 2012'!I117</f>
        <v>0</v>
      </c>
      <c r="K329" s="105">
        <f>'Simular IRS 2012'!L87</f>
        <v>0</v>
      </c>
      <c r="L329" s="105">
        <f>'Simular IRS 2012'!L87</f>
        <v>0</v>
      </c>
      <c r="M329" s="40"/>
      <c r="N329" s="40"/>
      <c r="O329" s="40"/>
      <c r="P329" s="40"/>
      <c r="Q329" s="40"/>
      <c r="R329" s="40"/>
    </row>
    <row r="330" spans="2:18" s="1" customFormat="1" ht="14.25">
      <c r="B330" s="40"/>
      <c r="E330" s="594" t="s">
        <v>111</v>
      </c>
      <c r="F330" s="594"/>
      <c r="G330" s="40"/>
      <c r="H330" s="131">
        <v>0.2</v>
      </c>
      <c r="I330" s="131">
        <v>0.2</v>
      </c>
      <c r="J330" s="227"/>
      <c r="K330" s="228">
        <v>0.2</v>
      </c>
      <c r="L330" s="131">
        <v>0.2</v>
      </c>
      <c r="M330" s="40"/>
      <c r="N330" s="40"/>
      <c r="O330" s="40"/>
      <c r="P330" s="40"/>
      <c r="Q330" s="40"/>
      <c r="R330" s="40"/>
    </row>
    <row r="331" spans="2:18" s="1" customFormat="1" ht="14.25">
      <c r="B331" s="40"/>
      <c r="E331" s="45" t="s">
        <v>68</v>
      </c>
      <c r="F331" s="45"/>
      <c r="G331" s="40"/>
      <c r="H331" s="105">
        <f>$H$329*H330</f>
        <v>0</v>
      </c>
      <c r="I331" s="105">
        <f>I329*I330</f>
        <v>0</v>
      </c>
      <c r="K331" s="105">
        <f>$K$329*K330</f>
        <v>0</v>
      </c>
      <c r="L331" s="105">
        <f>L329*L330</f>
        <v>0</v>
      </c>
      <c r="M331" s="40"/>
      <c r="N331" s="40"/>
      <c r="O331" s="40"/>
      <c r="P331" s="40"/>
      <c r="Q331" s="40"/>
      <c r="R331" s="40"/>
    </row>
    <row r="332" spans="2:18" s="1" customFormat="1" ht="14.25">
      <c r="B332" s="40"/>
      <c r="E332" s="45" t="s">
        <v>118</v>
      </c>
      <c r="F332" s="45"/>
      <c r="G332" s="40"/>
      <c r="H332" s="595">
        <f>K407</f>
      </c>
      <c r="I332" s="596"/>
      <c r="K332" s="597" t="str">
        <f>IF(K408="",E343,K408)</f>
        <v>0 - 34 anos</v>
      </c>
      <c r="L332" s="598"/>
      <c r="M332" s="40"/>
      <c r="N332" s="40"/>
      <c r="O332" s="40"/>
      <c r="P332" s="40"/>
      <c r="Q332" s="40"/>
      <c r="R332" s="40"/>
    </row>
    <row r="333" spans="2:18" s="1" customFormat="1" ht="14.25">
      <c r="B333" s="40"/>
      <c r="E333" s="45" t="s">
        <v>22</v>
      </c>
      <c r="F333" s="45"/>
      <c r="G333" s="40"/>
      <c r="H333" s="105" t="e">
        <f>VLOOKUP((H332),E342:F345,2,FALSE)</f>
        <v>#N/A</v>
      </c>
      <c r="I333" s="105" t="e">
        <f>VLOOKUP(H332,E343:G345,3,FALSE)</f>
        <v>#N/A</v>
      </c>
      <c r="K333" s="105">
        <f>VLOOKUP(K332,E342:G345,2,FALSE)</f>
        <v>400</v>
      </c>
      <c r="L333" s="105">
        <f>VLOOKUP(K332,E342:G345,3,FALSE)</f>
        <v>400</v>
      </c>
      <c r="M333" s="40"/>
      <c r="N333" s="40"/>
      <c r="O333" s="40"/>
      <c r="P333" s="40"/>
      <c r="Q333" s="40"/>
      <c r="R333" s="40"/>
    </row>
    <row r="334" spans="2:18" s="1" customFormat="1" ht="15">
      <c r="B334" s="40"/>
      <c r="E334" s="120" t="s">
        <v>53</v>
      </c>
      <c r="F334" s="120"/>
      <c r="G334" s="50"/>
      <c r="H334" s="80" t="e">
        <f>IF($H$331&gt;$H$333,$H$333,$H$331)</f>
        <v>#N/A</v>
      </c>
      <c r="I334" s="80" t="e">
        <f>IF(I331&gt;I333,I333,I331)</f>
        <v>#N/A</v>
      </c>
      <c r="J334" s="187"/>
      <c r="K334" s="80">
        <f>IF($K$331&gt;$K$333,$K$333,$K$331)</f>
        <v>0</v>
      </c>
      <c r="L334" s="80">
        <f>IF(L331&gt;L333,L333,L331)</f>
        <v>0</v>
      </c>
      <c r="M334" s="40"/>
      <c r="N334" s="40"/>
      <c r="O334" s="40"/>
      <c r="P334" s="40"/>
      <c r="Q334" s="40"/>
      <c r="R334" s="40"/>
    </row>
    <row r="335" spans="2:18" s="1" customFormat="1" ht="14.25">
      <c r="B335" s="40"/>
      <c r="L335" s="40"/>
      <c r="M335" s="40"/>
      <c r="N335" s="40"/>
      <c r="O335" s="40"/>
      <c r="P335" s="40"/>
      <c r="Q335" s="40"/>
      <c r="R335" s="40"/>
    </row>
    <row r="336" spans="2:18" s="1" customFormat="1" ht="15" thickBot="1">
      <c r="B336" s="40"/>
      <c r="H336" s="359"/>
      <c r="J336" s="46">
        <v>2011</v>
      </c>
      <c r="K336" s="46">
        <v>2012</v>
      </c>
      <c r="L336" s="40"/>
      <c r="M336" s="40"/>
      <c r="N336" s="40"/>
      <c r="O336" s="40"/>
      <c r="P336" s="40"/>
      <c r="Q336" s="40"/>
      <c r="R336" s="40"/>
    </row>
    <row r="337" spans="2:18" s="1" customFormat="1" ht="15" thickBot="1">
      <c r="B337" s="40"/>
      <c r="E337" s="97" t="s">
        <v>71</v>
      </c>
      <c r="F337" s="40"/>
      <c r="G337" s="40"/>
      <c r="H337" s="40"/>
      <c r="J337" s="229" t="e">
        <f>$H$334+$K$334</f>
        <v>#N/A</v>
      </c>
      <c r="K337" s="269" t="e">
        <f>I334+L334</f>
        <v>#N/A</v>
      </c>
      <c r="L337" s="40"/>
      <c r="M337" s="40"/>
      <c r="N337" s="40"/>
      <c r="O337" s="40"/>
      <c r="P337" s="40"/>
      <c r="Q337" s="40"/>
      <c r="R337" s="40"/>
    </row>
    <row r="338" spans="2:18" s="1" customFormat="1" ht="14.25">
      <c r="B338" s="40"/>
      <c r="L338" s="40"/>
      <c r="M338" s="40"/>
      <c r="N338" s="40"/>
      <c r="O338" s="40"/>
      <c r="P338" s="40"/>
      <c r="Q338" s="40"/>
      <c r="R338" s="40"/>
    </row>
    <row r="339" spans="2:18" s="1" customFormat="1" ht="14.25">
      <c r="B339" s="40"/>
      <c r="C339" s="41"/>
      <c r="D339" s="230" t="s">
        <v>119</v>
      </c>
      <c r="E339" s="85"/>
      <c r="F339" s="118"/>
      <c r="G339" s="118"/>
      <c r="H339" s="118"/>
      <c r="I339" s="40"/>
      <c r="J339" s="136"/>
      <c r="K339" s="40"/>
      <c r="L339" s="40"/>
      <c r="M339" s="40"/>
      <c r="N339" s="40"/>
      <c r="O339" s="40"/>
      <c r="P339" s="40"/>
      <c r="Q339" s="40"/>
      <c r="R339" s="40"/>
    </row>
    <row r="340" spans="2:18" s="1" customFormat="1" ht="14.25">
      <c r="B340" s="40"/>
      <c r="C340" s="41"/>
      <c r="D340" s="118"/>
      <c r="E340" s="85"/>
      <c r="F340" s="231">
        <v>2011</v>
      </c>
      <c r="G340" s="231">
        <v>2012</v>
      </c>
      <c r="H340" s="118"/>
      <c r="I340" s="40"/>
      <c r="J340" s="136"/>
      <c r="K340" s="40"/>
      <c r="L340" s="40"/>
      <c r="M340" s="40"/>
      <c r="N340" s="40"/>
      <c r="O340" s="40"/>
      <c r="P340" s="40"/>
      <c r="Q340" s="40"/>
      <c r="R340" s="40"/>
    </row>
    <row r="341" spans="2:18" s="1" customFormat="1" ht="14.25">
      <c r="B341" s="40"/>
      <c r="C341" s="41"/>
      <c r="D341" s="232"/>
      <c r="E341" s="376" t="s">
        <v>69</v>
      </c>
      <c r="F341" s="88" t="s">
        <v>70</v>
      </c>
      <c r="G341" s="88" t="str">
        <f>F341</f>
        <v>Lim. Ded.</v>
      </c>
      <c r="H341" s="118"/>
      <c r="I341" s="40"/>
      <c r="J341" s="136"/>
      <c r="K341" s="40"/>
      <c r="L341" s="40"/>
      <c r="M341" s="40"/>
      <c r="N341" s="40"/>
      <c r="O341" s="40"/>
      <c r="P341" s="40"/>
      <c r="Q341" s="40"/>
      <c r="R341" s="40"/>
    </row>
    <row r="342" spans="2:18" s="1" customFormat="1" ht="14.25">
      <c r="B342" s="40"/>
      <c r="C342" s="41"/>
      <c r="D342" s="232"/>
      <c r="E342" s="375" t="str">
        <f>E402</f>
        <v>Não aplicável</v>
      </c>
      <c r="F342" s="88">
        <v>0</v>
      </c>
      <c r="G342" s="89">
        <v>0</v>
      </c>
      <c r="H342" s="118"/>
      <c r="I342" s="40"/>
      <c r="J342" s="136"/>
      <c r="K342" s="40"/>
      <c r="L342" s="40"/>
      <c r="M342" s="40"/>
      <c r="N342" s="40"/>
      <c r="O342" s="40"/>
      <c r="P342" s="40"/>
      <c r="Q342" s="40"/>
      <c r="R342" s="40"/>
    </row>
    <row r="343" spans="2:18" s="1" customFormat="1" ht="14.25">
      <c r="B343" s="40"/>
      <c r="C343" s="41"/>
      <c r="D343" s="232"/>
      <c r="E343" s="375" t="str">
        <f>E403</f>
        <v>0 - 34 anos</v>
      </c>
      <c r="F343" s="88">
        <v>400</v>
      </c>
      <c r="G343" s="89">
        <v>400</v>
      </c>
      <c r="H343" s="118"/>
      <c r="I343" s="40"/>
      <c r="J343" s="136"/>
      <c r="K343" s="40"/>
      <c r="L343" s="40"/>
      <c r="M343" s="40"/>
      <c r="N343" s="40"/>
      <c r="O343" s="40"/>
      <c r="P343" s="40"/>
      <c r="Q343" s="40"/>
      <c r="R343" s="40"/>
    </row>
    <row r="344" spans="2:18" s="1" customFormat="1" ht="14.25">
      <c r="B344" s="40"/>
      <c r="C344" s="41"/>
      <c r="D344" s="232"/>
      <c r="E344" s="375" t="str">
        <f>E404</f>
        <v>35 - 50 anos</v>
      </c>
      <c r="F344" s="88">
        <v>350</v>
      </c>
      <c r="G344" s="89">
        <v>350</v>
      </c>
      <c r="H344" s="85"/>
      <c r="I344" s="40"/>
      <c r="J344" s="136"/>
      <c r="K344" s="40"/>
      <c r="L344" s="40"/>
      <c r="M344" s="40"/>
      <c r="N344" s="40"/>
      <c r="O344" s="40"/>
      <c r="P344" s="40"/>
      <c r="Q344" s="40"/>
      <c r="R344" s="40"/>
    </row>
    <row r="345" spans="2:18" s="1" customFormat="1" ht="14.25">
      <c r="B345" s="40"/>
      <c r="C345" s="41"/>
      <c r="D345" s="232"/>
      <c r="E345" s="375" t="str">
        <f>E405</f>
        <v>&gt; 50 anos</v>
      </c>
      <c r="F345" s="88">
        <v>300</v>
      </c>
      <c r="G345" s="89">
        <v>300</v>
      </c>
      <c r="H345" s="85"/>
      <c r="I345" s="40"/>
      <c r="J345" s="40"/>
      <c r="K345" s="40"/>
      <c r="L345" s="40"/>
      <c r="M345" s="40"/>
      <c r="N345" s="40"/>
      <c r="O345" s="40"/>
      <c r="P345" s="40"/>
      <c r="Q345" s="40"/>
      <c r="R345" s="40"/>
    </row>
    <row r="346" spans="2:18" s="1" customFormat="1" ht="14.25">
      <c r="B346" s="40"/>
      <c r="C346" s="41"/>
      <c r="D346" s="232"/>
      <c r="E346" s="232"/>
      <c r="F346" s="232"/>
      <c r="G346" s="85"/>
      <c r="H346" s="85"/>
      <c r="I346" s="40"/>
      <c r="J346" s="40"/>
      <c r="K346" s="40"/>
      <c r="L346" s="40"/>
      <c r="M346" s="40"/>
      <c r="N346" s="40"/>
      <c r="O346" s="40"/>
      <c r="P346" s="40"/>
      <c r="Q346" s="40"/>
      <c r="R346" s="40"/>
    </row>
    <row r="347" spans="2:18" s="1" customFormat="1" ht="14.25">
      <c r="B347" s="40"/>
      <c r="C347" s="40"/>
      <c r="D347" s="233"/>
      <c r="E347" s="107"/>
      <c r="F347" s="107"/>
      <c r="G347" s="40"/>
      <c r="H347" s="40"/>
      <c r="I347" s="40"/>
      <c r="J347" s="40"/>
      <c r="K347" s="40"/>
      <c r="L347" s="40"/>
      <c r="M347" s="40"/>
      <c r="N347" s="40"/>
      <c r="O347" s="40"/>
      <c r="P347" s="40"/>
      <c r="Q347" s="40"/>
      <c r="R347" s="40"/>
    </row>
    <row r="348" spans="2:18" s="1" customFormat="1" ht="14.25">
      <c r="B348" s="40"/>
      <c r="C348" s="40"/>
      <c r="D348" s="233"/>
      <c r="E348" s="107"/>
      <c r="F348" s="107"/>
      <c r="G348" s="40"/>
      <c r="H348" s="40"/>
      <c r="I348" s="40"/>
      <c r="J348" s="40"/>
      <c r="K348" s="40"/>
      <c r="L348" s="40"/>
      <c r="M348" s="40"/>
      <c r="N348" s="40"/>
      <c r="O348" s="40"/>
      <c r="P348" s="40"/>
      <c r="Q348" s="40"/>
      <c r="R348" s="40"/>
    </row>
    <row r="349" spans="2:18" s="1" customFormat="1" ht="14.25">
      <c r="B349" s="585" t="s">
        <v>149</v>
      </c>
      <c r="C349" s="586" t="s">
        <v>55</v>
      </c>
      <c r="D349" s="586"/>
      <c r="E349" s="107"/>
      <c r="F349" s="107"/>
      <c r="G349" s="40"/>
      <c r="H349" s="40"/>
      <c r="I349" s="40"/>
      <c r="J349" s="40"/>
      <c r="K349" s="40"/>
      <c r="L349" s="40"/>
      <c r="M349" s="40"/>
      <c r="N349" s="40"/>
      <c r="O349" s="40"/>
      <c r="P349" s="40"/>
      <c r="Q349" s="40"/>
      <c r="R349" s="40"/>
    </row>
    <row r="350" spans="2:18" s="1" customFormat="1" ht="14.25">
      <c r="B350" s="40"/>
      <c r="C350" s="40"/>
      <c r="D350" s="233"/>
      <c r="E350" s="107"/>
      <c r="F350" s="107"/>
      <c r="G350" s="40"/>
      <c r="H350" s="40"/>
      <c r="J350" s="234">
        <v>2011</v>
      </c>
      <c r="K350" s="234">
        <v>2012</v>
      </c>
      <c r="L350" s="40"/>
      <c r="M350" s="40"/>
      <c r="N350" s="40"/>
      <c r="O350" s="40"/>
      <c r="P350" s="40"/>
      <c r="Q350" s="40"/>
      <c r="R350" s="40"/>
    </row>
    <row r="351" spans="1:18" s="1" customFormat="1" ht="14.25">
      <c r="A351" s="166"/>
      <c r="B351" s="166"/>
      <c r="C351" s="166"/>
      <c r="D351" s="166"/>
      <c r="E351" s="40" t="s">
        <v>146</v>
      </c>
      <c r="F351" s="40"/>
      <c r="G351" s="40"/>
      <c r="H351" s="40"/>
      <c r="I351" s="166"/>
      <c r="J351" s="270">
        <v>0</v>
      </c>
      <c r="K351" s="270">
        <v>0</v>
      </c>
      <c r="L351" s="166"/>
      <c r="M351" s="166"/>
      <c r="N351" s="166"/>
      <c r="O351" s="166"/>
      <c r="P351" s="166"/>
      <c r="Q351" s="166"/>
      <c r="R351" s="166"/>
    </row>
    <row r="352" spans="1:18" s="1" customFormat="1" ht="14.25">
      <c r="A352" s="166"/>
      <c r="B352" s="166"/>
      <c r="C352" s="166"/>
      <c r="D352" s="166"/>
      <c r="E352" s="40" t="s">
        <v>147</v>
      </c>
      <c r="F352" s="40"/>
      <c r="G352" s="40"/>
      <c r="H352" s="40"/>
      <c r="I352" s="166"/>
      <c r="J352" s="131">
        <v>0.3</v>
      </c>
      <c r="K352" s="131">
        <v>0.3</v>
      </c>
      <c r="L352" s="166"/>
      <c r="M352" s="166"/>
      <c r="N352" s="166"/>
      <c r="O352" s="166"/>
      <c r="P352" s="166"/>
      <c r="Q352" s="166"/>
      <c r="R352" s="166"/>
    </row>
    <row r="353" spans="1:18" s="1" customFormat="1" ht="14.25">
      <c r="A353" s="166"/>
      <c r="B353" s="166"/>
      <c r="C353" s="166"/>
      <c r="D353" s="166"/>
      <c r="E353" s="40" t="s">
        <v>140</v>
      </c>
      <c r="F353" s="40"/>
      <c r="G353" s="40"/>
      <c r="H353" s="40"/>
      <c r="I353" s="166"/>
      <c r="J353" s="270">
        <v>803</v>
      </c>
      <c r="K353" s="270">
        <v>0</v>
      </c>
      <c r="L353" s="166"/>
      <c r="M353" s="166"/>
      <c r="N353" s="166"/>
      <c r="O353" s="166"/>
      <c r="P353" s="166"/>
      <c r="Q353" s="166"/>
      <c r="R353" s="166"/>
    </row>
    <row r="354" spans="1:18" s="1" customFormat="1" ht="14.25">
      <c r="A354" s="170"/>
      <c r="B354" s="170"/>
      <c r="C354" s="170"/>
      <c r="D354" s="170"/>
      <c r="E354" s="50" t="s">
        <v>148</v>
      </c>
      <c r="F354" s="50"/>
      <c r="G354" s="50"/>
      <c r="H354" s="50"/>
      <c r="I354" s="170"/>
      <c r="J354" s="270">
        <f>IF(J351*J352&lt;J353,J351*J352,J353)</f>
        <v>0</v>
      </c>
      <c r="K354" s="270">
        <f>IF(K351*K352&lt;K353,K351*K352,K353)</f>
        <v>0</v>
      </c>
      <c r="L354" s="170"/>
      <c r="M354" s="170"/>
      <c r="N354" s="170"/>
      <c r="O354" s="170"/>
      <c r="P354" s="170"/>
      <c r="Q354" s="170"/>
      <c r="R354" s="170"/>
    </row>
    <row r="355" spans="2:18" s="1" customFormat="1" ht="14.25">
      <c r="B355" s="40"/>
      <c r="C355" s="40"/>
      <c r="D355" s="233"/>
      <c r="E355" s="40"/>
      <c r="F355" s="40"/>
      <c r="G355" s="40"/>
      <c r="H355" s="40"/>
      <c r="I355" s="40"/>
      <c r="J355" s="40"/>
      <c r="K355" s="40"/>
      <c r="L355" s="40"/>
      <c r="M355" s="40"/>
      <c r="N355" s="40"/>
      <c r="O355" s="40"/>
      <c r="P355" s="40"/>
      <c r="Q355" s="40"/>
      <c r="R355" s="40"/>
    </row>
    <row r="356" spans="2:18" s="1" customFormat="1" ht="14.25">
      <c r="B356" s="585" t="s">
        <v>150</v>
      </c>
      <c r="C356" s="586" t="s">
        <v>55</v>
      </c>
      <c r="D356" s="586"/>
      <c r="E356" s="40"/>
      <c r="F356" s="40"/>
      <c r="G356" s="40"/>
      <c r="H356" s="40"/>
      <c r="I356" s="40"/>
      <c r="J356" s="40"/>
      <c r="K356" s="40"/>
      <c r="L356" s="40"/>
      <c r="M356" s="40"/>
      <c r="N356" s="40"/>
      <c r="O356" s="40"/>
      <c r="P356" s="40"/>
      <c r="Q356" s="40"/>
      <c r="R356" s="40"/>
    </row>
    <row r="357" spans="1:18" s="1" customFormat="1" ht="14.25">
      <c r="A357" s="163"/>
      <c r="B357" s="235"/>
      <c r="C357" s="236"/>
      <c r="D357" s="236"/>
      <c r="E357" s="41"/>
      <c r="F357" s="41"/>
      <c r="G357" s="41"/>
      <c r="H357" s="41"/>
      <c r="I357" s="41"/>
      <c r="J357" s="41"/>
      <c r="K357" s="41"/>
      <c r="L357" s="41"/>
      <c r="M357" s="41"/>
      <c r="N357" s="41"/>
      <c r="O357" s="41"/>
      <c r="P357" s="41"/>
      <c r="Q357" s="41"/>
      <c r="R357" s="41"/>
    </row>
    <row r="358" spans="2:18" s="1" customFormat="1" ht="14.25">
      <c r="B358" s="40"/>
      <c r="C358" s="40"/>
      <c r="D358" s="233"/>
      <c r="E358" s="40"/>
      <c r="F358" s="40"/>
      <c r="G358" s="40"/>
      <c r="H358" s="40"/>
      <c r="I358" s="40"/>
      <c r="J358" s="234">
        <v>2011</v>
      </c>
      <c r="K358" s="234">
        <v>2012</v>
      </c>
      <c r="L358" s="40"/>
      <c r="M358" s="40"/>
      <c r="N358" s="40"/>
      <c r="O358" s="40"/>
      <c r="P358" s="40"/>
      <c r="Q358" s="40"/>
      <c r="R358" s="40"/>
    </row>
    <row r="359" spans="1:18" s="1" customFormat="1" ht="14.25">
      <c r="A359" s="166"/>
      <c r="B359" s="166"/>
      <c r="C359" s="166"/>
      <c r="D359" s="166"/>
      <c r="E359" s="40" t="s">
        <v>151</v>
      </c>
      <c r="F359" s="166"/>
      <c r="G359" s="166"/>
      <c r="H359" s="166"/>
      <c r="I359" s="166"/>
      <c r="J359" s="237">
        <f>'Simular IRS 2012'!I119+'Simular IRS 2012'!J89</f>
        <v>0</v>
      </c>
      <c r="K359" s="237">
        <f>'Simular IRS 2012'!I119+'Simular IRS 2012'!J89</f>
        <v>0</v>
      </c>
      <c r="L359" s="166"/>
      <c r="M359" s="166"/>
      <c r="N359" s="166"/>
      <c r="O359" s="166"/>
      <c r="P359" s="166"/>
      <c r="Q359" s="166"/>
      <c r="R359" s="166"/>
    </row>
    <row r="360" spans="1:18" s="1" customFormat="1" ht="14.25">
      <c r="A360" s="166"/>
      <c r="B360" s="166"/>
      <c r="C360" s="166"/>
      <c r="D360" s="166"/>
      <c r="E360" s="40" t="s">
        <v>147</v>
      </c>
      <c r="F360" s="166"/>
      <c r="G360" s="166"/>
      <c r="H360" s="166"/>
      <c r="I360" s="166"/>
      <c r="J360" s="238">
        <v>0.25</v>
      </c>
      <c r="K360" s="238">
        <v>0.25</v>
      </c>
      <c r="L360" s="166"/>
      <c r="M360" s="166"/>
      <c r="N360" s="166"/>
      <c r="O360" s="166"/>
      <c r="P360" s="166"/>
      <c r="Q360" s="166"/>
      <c r="R360" s="166"/>
    </row>
    <row r="361" spans="1:18" s="1" customFormat="1" ht="14.25">
      <c r="A361" s="166"/>
      <c r="B361" s="166"/>
      <c r="C361" s="166"/>
      <c r="D361" s="166"/>
      <c r="E361" s="40" t="s">
        <v>152</v>
      </c>
      <c r="F361" s="166"/>
      <c r="G361" s="50"/>
      <c r="H361" s="166"/>
      <c r="I361" s="166"/>
      <c r="J361" s="238">
        <v>1.3</v>
      </c>
      <c r="K361" s="238">
        <v>1.3</v>
      </c>
      <c r="L361" s="166"/>
      <c r="M361" s="166"/>
      <c r="N361" s="166"/>
      <c r="O361" s="166"/>
      <c r="P361" s="166"/>
      <c r="Q361" s="166"/>
      <c r="R361" s="166"/>
    </row>
    <row r="362" spans="1:18" s="1" customFormat="1" ht="14.25">
      <c r="A362" s="166"/>
      <c r="B362" s="166"/>
      <c r="C362" s="166"/>
      <c r="D362" s="166"/>
      <c r="E362" s="40" t="s">
        <v>243</v>
      </c>
      <c r="J362" s="239">
        <f>0.15*J32</f>
        <v>0</v>
      </c>
      <c r="K362" s="239">
        <f>0.15*K32</f>
        <v>0</v>
      </c>
      <c r="L362" s="166"/>
      <c r="M362" s="166"/>
      <c r="N362" s="166"/>
      <c r="O362" s="166"/>
      <c r="P362" s="166"/>
      <c r="Q362" s="166"/>
      <c r="R362" s="166"/>
    </row>
    <row r="363" spans="1:18" s="1" customFormat="1" ht="14.25">
      <c r="A363" s="166"/>
      <c r="B363" s="166"/>
      <c r="C363" s="166"/>
      <c r="D363" s="166"/>
      <c r="E363" s="40" t="s">
        <v>141</v>
      </c>
      <c r="F363" s="166"/>
      <c r="G363" s="166"/>
      <c r="H363" s="166"/>
      <c r="I363" s="166"/>
      <c r="J363" s="239">
        <f>IF(J359*J360*J361&gt;J362,J362,J359*J360*J361)</f>
        <v>0</v>
      </c>
      <c r="K363" s="239">
        <f>IF(K359*K360*K361&gt;K362,K362,K359*K360*K361)</f>
        <v>0</v>
      </c>
      <c r="L363" s="166"/>
      <c r="M363" s="166"/>
      <c r="N363" s="166"/>
      <c r="O363" s="166"/>
      <c r="P363" s="166"/>
      <c r="Q363" s="166"/>
      <c r="R363" s="166"/>
    </row>
    <row r="364" spans="2:18" s="1" customFormat="1" ht="14.25">
      <c r="B364" s="40"/>
      <c r="C364" s="240"/>
      <c r="D364" s="241"/>
      <c r="E364" s="242"/>
      <c r="F364" s="243"/>
      <c r="G364" s="40"/>
      <c r="H364" s="40"/>
      <c r="I364" s="40"/>
      <c r="J364" s="40"/>
      <c r="K364" s="40"/>
      <c r="L364" s="40"/>
      <c r="M364" s="40"/>
      <c r="N364" s="40"/>
      <c r="O364" s="40"/>
      <c r="P364" s="40"/>
      <c r="Q364" s="40"/>
      <c r="R364" s="40"/>
    </row>
    <row r="365" spans="2:18" s="1" customFormat="1" ht="15" customHeight="1">
      <c r="B365" s="599" t="s">
        <v>35</v>
      </c>
      <c r="C365" s="599"/>
      <c r="D365" s="599"/>
      <c r="E365" s="599"/>
      <c r="F365" s="599"/>
      <c r="G365" s="40"/>
      <c r="H365" s="40"/>
      <c r="I365" s="40"/>
      <c r="J365" s="40"/>
      <c r="K365" s="40"/>
      <c r="L365" s="40"/>
      <c r="M365" s="40"/>
      <c r="N365" s="40"/>
      <c r="O365" s="40"/>
      <c r="P365" s="40"/>
      <c r="Q365" s="40"/>
      <c r="R365" s="40"/>
    </row>
    <row r="366" spans="2:18" s="1" customFormat="1" ht="15" thickBot="1">
      <c r="B366" s="40"/>
      <c r="C366" s="40"/>
      <c r="D366" s="40"/>
      <c r="E366" s="40"/>
      <c r="F366" s="40"/>
      <c r="G366" s="40"/>
      <c r="H366" s="40"/>
      <c r="J366" s="46">
        <v>2011</v>
      </c>
      <c r="K366" s="46">
        <v>2012</v>
      </c>
      <c r="N366" s="40"/>
      <c r="O366" s="40"/>
      <c r="P366" s="40"/>
      <c r="Q366" s="40"/>
      <c r="R366" s="40"/>
    </row>
    <row r="367" spans="2:18" s="1" customFormat="1" ht="15" thickBot="1">
      <c r="B367" s="40"/>
      <c r="C367" s="40"/>
      <c r="D367" s="40"/>
      <c r="F367" s="50" t="s">
        <v>245</v>
      </c>
      <c r="G367" s="50"/>
      <c r="H367" s="50"/>
      <c r="I367" s="50"/>
      <c r="J367" s="271" t="e">
        <f>J318+J337+J354+J363</f>
        <v>#N/A</v>
      </c>
      <c r="K367" s="271" t="e">
        <f>K318+K337+K354+K363</f>
        <v>#N/A</v>
      </c>
      <c r="N367" s="40"/>
      <c r="O367" s="40"/>
      <c r="P367" s="40"/>
      <c r="Q367" s="40"/>
      <c r="R367" s="40"/>
    </row>
    <row r="368" spans="2:18" s="1" customFormat="1" ht="15" thickBot="1">
      <c r="B368" s="40"/>
      <c r="C368" s="40"/>
      <c r="D368" s="40"/>
      <c r="F368" s="50" t="s">
        <v>128</v>
      </c>
      <c r="G368" s="50"/>
      <c r="H368" s="50"/>
      <c r="I368" s="50"/>
      <c r="J368" s="271">
        <f>J24</f>
        <v>0</v>
      </c>
      <c r="K368" s="271">
        <f>K24</f>
        <v>0</v>
      </c>
      <c r="N368" s="40"/>
      <c r="O368" s="40"/>
      <c r="P368" s="40"/>
      <c r="Q368" s="40"/>
      <c r="R368" s="40"/>
    </row>
    <row r="369" spans="2:18" s="1" customFormat="1" ht="15" thickBot="1">
      <c r="B369" s="40"/>
      <c r="C369" s="40"/>
      <c r="D369" s="40"/>
      <c r="F369" s="50" t="s">
        <v>246</v>
      </c>
      <c r="H369" s="50"/>
      <c r="I369" s="50"/>
      <c r="J369" s="271">
        <f>VLOOKUP(J368,$E$374:$G$381,3,TRUE)</f>
        <v>9.99999999999999E+57</v>
      </c>
      <c r="K369" s="271">
        <f>VLOOKUP(K368,I374:K381,3,TRUE)</f>
        <v>9.99999999999999E+57</v>
      </c>
      <c r="N369" s="40"/>
      <c r="O369" s="40"/>
      <c r="P369" s="40"/>
      <c r="Q369" s="40"/>
      <c r="R369" s="40"/>
    </row>
    <row r="370" spans="2:18" s="1" customFormat="1" ht="15" thickBot="1">
      <c r="B370" s="40"/>
      <c r="C370" s="40"/>
      <c r="D370" s="40"/>
      <c r="F370" s="50" t="s">
        <v>290</v>
      </c>
      <c r="G370" s="50"/>
      <c r="H370" s="50"/>
      <c r="I370" s="50"/>
      <c r="J370" s="271" t="e">
        <f>IF($J$367&gt;$J$369,$J$369,$J$367)</f>
        <v>#N/A</v>
      </c>
      <c r="K370" s="271" t="e">
        <f>IF($K$367&gt;$K$369,$K$369,$K$367)</f>
        <v>#N/A</v>
      </c>
      <c r="N370" s="40"/>
      <c r="O370" s="40"/>
      <c r="P370" s="40"/>
      <c r="Q370" s="40"/>
      <c r="R370" s="40"/>
    </row>
    <row r="371" spans="2:18" s="1" customFormat="1" ht="14.25">
      <c r="B371" s="40"/>
      <c r="C371" s="40"/>
      <c r="D371" s="40"/>
      <c r="F371" s="40"/>
      <c r="G371" s="40"/>
      <c r="H371" s="40"/>
      <c r="I371" s="40"/>
      <c r="J371" s="40"/>
      <c r="N371" s="40"/>
      <c r="O371" s="40"/>
      <c r="P371" s="40"/>
      <c r="Q371" s="40"/>
      <c r="R371" s="40"/>
    </row>
    <row r="372" spans="2:18" s="1" customFormat="1" ht="15" thickBot="1">
      <c r="B372" s="40"/>
      <c r="C372" s="40"/>
      <c r="D372" s="230" t="s">
        <v>119</v>
      </c>
      <c r="E372" s="118"/>
      <c r="F372" s="118"/>
      <c r="G372" s="118"/>
      <c r="H372" s="118"/>
      <c r="I372" s="118"/>
      <c r="J372" s="118"/>
      <c r="K372" s="85"/>
      <c r="L372" s="85"/>
      <c r="M372" s="40"/>
      <c r="N372" s="40"/>
      <c r="O372" s="40"/>
      <c r="P372" s="40"/>
      <c r="Q372" s="40"/>
      <c r="R372" s="40"/>
    </row>
    <row r="373" spans="2:18" s="1" customFormat="1" ht="15" thickBot="1">
      <c r="B373" s="40"/>
      <c r="C373" s="40"/>
      <c r="D373" s="230"/>
      <c r="E373" s="588" t="s">
        <v>120</v>
      </c>
      <c r="F373" s="589"/>
      <c r="G373" s="190" t="s">
        <v>129</v>
      </c>
      <c r="H373" s="118"/>
      <c r="I373" s="588" t="s">
        <v>120</v>
      </c>
      <c r="J373" s="590"/>
      <c r="K373" s="190" t="s">
        <v>130</v>
      </c>
      <c r="L373" s="85"/>
      <c r="M373" s="40"/>
      <c r="N373" s="40"/>
      <c r="O373" s="40"/>
      <c r="P373" s="40"/>
      <c r="Q373" s="40"/>
      <c r="R373" s="40"/>
    </row>
    <row r="374" spans="2:18" s="1" customFormat="1" ht="14.25">
      <c r="B374" s="40"/>
      <c r="C374" s="40"/>
      <c r="D374" s="85"/>
      <c r="E374" s="191">
        <v>0</v>
      </c>
      <c r="F374" s="244">
        <v>4898</v>
      </c>
      <c r="G374" s="245">
        <v>9.99999999999999E+57</v>
      </c>
      <c r="H374" s="85"/>
      <c r="I374" s="191">
        <f>H83</f>
        <v>0</v>
      </c>
      <c r="J374" s="246">
        <f>I83</f>
        <v>4898</v>
      </c>
      <c r="K374" s="245">
        <v>9.99999999999999E+57</v>
      </c>
      <c r="L374" s="85"/>
      <c r="M374" s="40"/>
      <c r="N374" s="40"/>
      <c r="O374" s="40"/>
      <c r="P374" s="40"/>
      <c r="Q374" s="40"/>
      <c r="R374" s="40"/>
    </row>
    <row r="375" spans="2:18" s="1" customFormat="1" ht="14.25">
      <c r="B375" s="40"/>
      <c r="C375" s="40"/>
      <c r="D375" s="85"/>
      <c r="E375" s="195">
        <v>4898</v>
      </c>
      <c r="F375" s="247">
        <v>7410</v>
      </c>
      <c r="G375" s="209">
        <v>9.99999999999999E+57</v>
      </c>
      <c r="H375" s="85"/>
      <c r="I375" s="195">
        <f aca="true" t="shared" si="3" ref="I375:J381">H84</f>
        <v>4898</v>
      </c>
      <c r="J375" s="248">
        <f t="shared" si="3"/>
        <v>7410</v>
      </c>
      <c r="K375" s="209">
        <v>9.99999999999999E+57</v>
      </c>
      <c r="L375" s="85"/>
      <c r="M375" s="40"/>
      <c r="N375" s="40"/>
      <c r="O375" s="40"/>
      <c r="P375" s="40"/>
      <c r="Q375" s="40"/>
      <c r="R375" s="40"/>
    </row>
    <row r="376" spans="2:18" s="1" customFormat="1" ht="14.25">
      <c r="B376" s="40"/>
      <c r="C376" s="40"/>
      <c r="D376" s="85"/>
      <c r="E376" s="195">
        <v>7410</v>
      </c>
      <c r="F376" s="247">
        <v>18375</v>
      </c>
      <c r="G376" s="249">
        <v>100</v>
      </c>
      <c r="H376" s="85"/>
      <c r="I376" s="195">
        <f t="shared" si="3"/>
        <v>7410</v>
      </c>
      <c r="J376" s="248">
        <f t="shared" si="3"/>
        <v>18375</v>
      </c>
      <c r="K376" s="249">
        <v>100</v>
      </c>
      <c r="L376" s="85"/>
      <c r="M376" s="40"/>
      <c r="N376" s="40"/>
      <c r="O376" s="40"/>
      <c r="P376" s="40"/>
      <c r="Q376" s="40"/>
      <c r="R376" s="40"/>
    </row>
    <row r="377" spans="2:18" s="1" customFormat="1" ht="14.25">
      <c r="B377" s="40"/>
      <c r="C377" s="40"/>
      <c r="D377" s="85"/>
      <c r="E377" s="195">
        <v>18375</v>
      </c>
      <c r="F377" s="247">
        <v>42259</v>
      </c>
      <c r="G377" s="249">
        <v>80</v>
      </c>
      <c r="H377" s="85"/>
      <c r="I377" s="195">
        <f t="shared" si="3"/>
        <v>18375</v>
      </c>
      <c r="J377" s="248">
        <f t="shared" si="3"/>
        <v>42259</v>
      </c>
      <c r="K377" s="249">
        <v>80</v>
      </c>
      <c r="L377" s="85"/>
      <c r="M377" s="40"/>
      <c r="N377" s="40"/>
      <c r="O377" s="40"/>
      <c r="P377" s="40"/>
      <c r="Q377" s="40"/>
      <c r="R377" s="40"/>
    </row>
    <row r="378" spans="2:18" s="1" customFormat="1" ht="14.25">
      <c r="B378" s="40"/>
      <c r="C378" s="40"/>
      <c r="D378" s="118"/>
      <c r="E378" s="195">
        <v>42259</v>
      </c>
      <c r="F378" s="247">
        <v>61244</v>
      </c>
      <c r="G378" s="249">
        <v>60</v>
      </c>
      <c r="H378" s="85"/>
      <c r="I378" s="195">
        <f t="shared" si="3"/>
        <v>42259</v>
      </c>
      <c r="J378" s="248">
        <f t="shared" si="3"/>
        <v>61244</v>
      </c>
      <c r="K378" s="249">
        <v>60</v>
      </c>
      <c r="L378" s="85"/>
      <c r="M378" s="40"/>
      <c r="N378" s="40"/>
      <c r="O378" s="40"/>
      <c r="P378" s="40"/>
      <c r="Q378" s="40"/>
      <c r="R378" s="40"/>
    </row>
    <row r="379" spans="2:18" s="1" customFormat="1" ht="14.25">
      <c r="B379" s="40"/>
      <c r="C379" s="40"/>
      <c r="D379" s="118"/>
      <c r="E379" s="195">
        <v>61244</v>
      </c>
      <c r="F379" s="247">
        <v>66045</v>
      </c>
      <c r="G379" s="249">
        <v>50</v>
      </c>
      <c r="H379" s="85"/>
      <c r="I379" s="195">
        <f t="shared" si="3"/>
        <v>61244</v>
      </c>
      <c r="J379" s="248">
        <f t="shared" si="3"/>
        <v>66045</v>
      </c>
      <c r="K379" s="249">
        <v>50</v>
      </c>
      <c r="L379" s="85"/>
      <c r="M379" s="40"/>
      <c r="N379" s="40"/>
      <c r="O379" s="40"/>
      <c r="P379" s="40"/>
      <c r="Q379" s="40"/>
      <c r="R379" s="40"/>
    </row>
    <row r="380" spans="2:18" s="1" customFormat="1" ht="14.25">
      <c r="B380" s="40"/>
      <c r="C380" s="40"/>
      <c r="D380" s="118"/>
      <c r="E380" s="195">
        <v>66045</v>
      </c>
      <c r="F380" s="250">
        <v>153300</v>
      </c>
      <c r="G380" s="249">
        <v>50</v>
      </c>
      <c r="H380" s="85"/>
      <c r="I380" s="195">
        <f t="shared" si="3"/>
        <v>66045</v>
      </c>
      <c r="J380" s="251">
        <f t="shared" si="3"/>
        <v>153300</v>
      </c>
      <c r="K380" s="249">
        <v>50</v>
      </c>
      <c r="L380" s="85"/>
      <c r="M380" s="40"/>
      <c r="N380" s="40"/>
      <c r="O380" s="40"/>
      <c r="P380" s="40"/>
      <c r="Q380" s="40"/>
      <c r="R380" s="40"/>
    </row>
    <row r="381" spans="2:18" s="1" customFormat="1" ht="15" thickBot="1">
      <c r="B381" s="40"/>
      <c r="C381" s="40"/>
      <c r="D381" s="118"/>
      <c r="E381" s="202">
        <v>153300</v>
      </c>
      <c r="F381" s="252">
        <v>9.99999999999999E+57</v>
      </c>
      <c r="G381" s="253">
        <v>0</v>
      </c>
      <c r="H381" s="85"/>
      <c r="I381" s="202">
        <f t="shared" si="3"/>
        <v>153300</v>
      </c>
      <c r="J381" s="254">
        <f t="shared" si="3"/>
        <v>999999999</v>
      </c>
      <c r="K381" s="253">
        <v>0</v>
      </c>
      <c r="L381" s="85"/>
      <c r="M381" s="40"/>
      <c r="N381" s="40"/>
      <c r="O381" s="40"/>
      <c r="P381" s="40"/>
      <c r="Q381" s="40"/>
      <c r="R381" s="40"/>
    </row>
    <row r="382" spans="2:18" s="1" customFormat="1" ht="14.25">
      <c r="B382" s="40"/>
      <c r="C382" s="40"/>
      <c r="D382" s="118"/>
      <c r="E382" s="255"/>
      <c r="F382" s="232"/>
      <c r="G382" s="256"/>
      <c r="H382" s="85"/>
      <c r="I382" s="85"/>
      <c r="J382" s="85"/>
      <c r="K382" s="85"/>
      <c r="L382" s="85"/>
      <c r="M382" s="40"/>
      <c r="N382" s="40"/>
      <c r="O382" s="40"/>
      <c r="P382" s="40"/>
      <c r="Q382" s="40"/>
      <c r="R382" s="40"/>
    </row>
    <row r="383" spans="1:18" s="1" customFormat="1" ht="14.25">
      <c r="A383" s="163"/>
      <c r="B383" s="41"/>
      <c r="C383" s="41"/>
      <c r="D383" s="163"/>
      <c r="E383" s="257"/>
      <c r="F383" s="258"/>
      <c r="G383" s="259"/>
      <c r="H383" s="41"/>
      <c r="I383" s="41"/>
      <c r="J383" s="41"/>
      <c r="K383" s="41"/>
      <c r="L383" s="41"/>
      <c r="M383" s="41"/>
      <c r="N383" s="41"/>
      <c r="O383" s="41"/>
      <c r="P383" s="41"/>
      <c r="Q383" s="41"/>
      <c r="R383" s="41"/>
    </row>
    <row r="384" spans="1:18" s="1" customFormat="1" ht="14.25">
      <c r="A384" s="163"/>
      <c r="B384" s="41"/>
      <c r="C384" s="41"/>
      <c r="D384" s="163"/>
      <c r="E384" s="257"/>
      <c r="F384" s="258"/>
      <c r="G384" s="259"/>
      <c r="H384" s="41"/>
      <c r="I384" s="41"/>
      <c r="J384" s="41"/>
      <c r="K384" s="41"/>
      <c r="L384" s="41"/>
      <c r="M384" s="41"/>
      <c r="N384" s="41"/>
      <c r="O384" s="41"/>
      <c r="P384" s="41"/>
      <c r="Q384" s="41"/>
      <c r="R384" s="41"/>
    </row>
    <row r="385" spans="1:18" s="1" customFormat="1" ht="14.25">
      <c r="A385" s="163"/>
      <c r="B385" s="585" t="s">
        <v>162</v>
      </c>
      <c r="C385" s="586" t="s">
        <v>55</v>
      </c>
      <c r="D385" s="586"/>
      <c r="E385" s="257"/>
      <c r="F385" s="258"/>
      <c r="G385" s="259"/>
      <c r="H385" s="41"/>
      <c r="I385" s="41"/>
      <c r="J385" s="41"/>
      <c r="K385" s="41"/>
      <c r="L385" s="41"/>
      <c r="M385" s="41"/>
      <c r="N385" s="41"/>
      <c r="O385" s="41"/>
      <c r="P385" s="41"/>
      <c r="Q385" s="41"/>
      <c r="R385" s="41"/>
    </row>
    <row r="386" spans="1:18" s="1" customFormat="1" ht="14.25">
      <c r="A386" s="163"/>
      <c r="B386" s="41"/>
      <c r="C386" s="41"/>
      <c r="D386" s="163"/>
      <c r="E386" s="257"/>
      <c r="F386" s="258"/>
      <c r="G386" s="259"/>
      <c r="H386" s="41"/>
      <c r="I386" s="41"/>
      <c r="J386" s="41"/>
      <c r="K386" s="41"/>
      <c r="L386" s="41"/>
      <c r="M386" s="41"/>
      <c r="N386" s="41"/>
      <c r="O386" s="41"/>
      <c r="P386" s="41"/>
      <c r="Q386" s="41"/>
      <c r="R386" s="41"/>
    </row>
    <row r="387" spans="2:8" s="1" customFormat="1" ht="14.25">
      <c r="B387" s="360" t="s">
        <v>218</v>
      </c>
      <c r="C387" s="45" t="s">
        <v>160</v>
      </c>
      <c r="D387" s="45"/>
      <c r="H387" s="260">
        <f>J20</f>
        <v>0</v>
      </c>
    </row>
    <row r="388" spans="2:8" s="1" customFormat="1" ht="14.25">
      <c r="B388" s="359">
        <v>2</v>
      </c>
      <c r="C388" s="45" t="s">
        <v>215</v>
      </c>
      <c r="D388" s="45"/>
      <c r="H388" s="260">
        <f>-IF((G394+G395)&gt;H387,H387,(G394+G395))</f>
        <v>0</v>
      </c>
    </row>
    <row r="389" spans="2:8" s="1" customFormat="1" ht="14.25">
      <c r="B389" s="359">
        <v>3</v>
      </c>
      <c r="C389" s="45" t="s">
        <v>216</v>
      </c>
      <c r="D389" s="45"/>
      <c r="H389" s="260">
        <f>IF(H387+H388&gt;0,H387+H388,0)</f>
        <v>0</v>
      </c>
    </row>
    <row r="390" spans="2:8" s="1" customFormat="1" ht="14.25">
      <c r="B390" s="359">
        <v>5</v>
      </c>
      <c r="C390" s="45" t="s">
        <v>217</v>
      </c>
      <c r="D390" s="45"/>
      <c r="H390" s="260">
        <f>-IF(H389=0,0,F71*0.025*F76)</f>
        <v>0</v>
      </c>
    </row>
    <row r="391" spans="2:8" s="1" customFormat="1" ht="14.25">
      <c r="B391" s="359"/>
      <c r="C391" s="45" t="s">
        <v>161</v>
      </c>
      <c r="D391" s="45"/>
      <c r="H391" s="260">
        <f>H389*0.035</f>
        <v>0</v>
      </c>
    </row>
    <row r="392" spans="2:8" s="1" customFormat="1" ht="14.25">
      <c r="B392" s="359">
        <v>4</v>
      </c>
      <c r="C392" s="45" t="s">
        <v>221</v>
      </c>
      <c r="D392" s="45"/>
      <c r="H392" s="260">
        <f>IF(H391+H390&gt;0,H391+H390,0)</f>
        <v>0</v>
      </c>
    </row>
    <row r="393" s="1" customFormat="1" ht="14.25"/>
    <row r="394" spans="5:8" s="1" customFormat="1" ht="14.25">
      <c r="E394" s="123" t="s">
        <v>156</v>
      </c>
      <c r="F394" s="123">
        <f>'Simular IRS 2012'!I28+'Simular IRS 2012'!I37+'Simular IRS 2012'!I39+'Simular IRS 2012'!I41+'Simular IRS 2012'!I47+'Simular IRS 2012'!I55</f>
        <v>0</v>
      </c>
      <c r="G394" s="118">
        <f>IF(F394&lt;14*485,F394,14*485)</f>
        <v>0</v>
      </c>
      <c r="H394" s="118"/>
    </row>
    <row r="395" spans="5:8" s="1" customFormat="1" ht="14.25">
      <c r="E395" s="123" t="s">
        <v>157</v>
      </c>
      <c r="F395" s="123">
        <f>'Simular IRS 2012'!L28+'Simular IRS 2012'!L37+'Simular IRS 2012'!L39+'Simular IRS 2012'!L41+'Simular IRS 2012'!L47+'Simular IRS 2012'!L55</f>
        <v>0</v>
      </c>
      <c r="G395" s="118">
        <f>IF(F395&lt;14*485,F395,14*485)</f>
        <v>0</v>
      </c>
      <c r="H395" s="118"/>
    </row>
    <row r="396" spans="5:8" s="1" customFormat="1" ht="14.25">
      <c r="E396" s="123"/>
      <c r="F396" s="123"/>
      <c r="G396" s="118"/>
      <c r="H396" s="118"/>
    </row>
    <row r="397" spans="1:18" s="1" customFormat="1" ht="14.25">
      <c r="A397" s="29"/>
      <c r="B397" s="107"/>
      <c r="C397" s="107"/>
      <c r="D397" s="29"/>
      <c r="E397" s="29"/>
      <c r="F397" s="29"/>
      <c r="G397" s="29"/>
      <c r="H397" s="107"/>
      <c r="I397" s="107"/>
      <c r="J397" s="107"/>
      <c r="K397" s="107"/>
      <c r="L397" s="107"/>
      <c r="M397" s="107"/>
      <c r="N397" s="107"/>
      <c r="O397" s="107"/>
      <c r="P397" s="107"/>
      <c r="Q397" s="107"/>
      <c r="R397" s="107"/>
    </row>
    <row r="398" spans="2:18" s="29" customFormat="1" ht="15" thickBot="1">
      <c r="B398" s="107"/>
      <c r="C398" s="107"/>
      <c r="D398" s="107"/>
      <c r="E398" s="107"/>
      <c r="F398" s="107"/>
      <c r="G398" s="107"/>
      <c r="H398" s="107"/>
      <c r="I398" s="107"/>
      <c r="J398" s="107"/>
      <c r="K398" s="107"/>
      <c r="L398" s="107"/>
      <c r="M398" s="107"/>
      <c r="N398" s="107"/>
      <c r="O398" s="107"/>
      <c r="P398" s="107"/>
      <c r="Q398" s="107"/>
      <c r="R398" s="107"/>
    </row>
    <row r="399" spans="2:18" s="1" customFormat="1" ht="15" thickBot="1">
      <c r="B399" s="591" t="s">
        <v>132</v>
      </c>
      <c r="C399" s="592"/>
      <c r="D399" s="593"/>
      <c r="E399" s="40"/>
      <c r="F399" s="40"/>
      <c r="G399" s="40"/>
      <c r="H399" s="40"/>
      <c r="I399" s="40"/>
      <c r="J399" s="40"/>
      <c r="K399" s="40"/>
      <c r="L399" s="40"/>
      <c r="M399" s="40"/>
      <c r="N399" s="40"/>
      <c r="O399" s="40"/>
      <c r="P399" s="40"/>
      <c r="Q399" s="40"/>
      <c r="R399" s="40"/>
    </row>
    <row r="400" spans="2:18" s="1" customFormat="1" ht="14.25">
      <c r="B400" s="40"/>
      <c r="C400" s="40"/>
      <c r="D400" s="40"/>
      <c r="E400" s="40"/>
      <c r="F400" s="40"/>
      <c r="G400" s="40"/>
      <c r="H400" s="40"/>
      <c r="I400" s="40"/>
      <c r="J400" s="40"/>
      <c r="K400" s="40"/>
      <c r="L400" s="40"/>
      <c r="M400" s="40"/>
      <c r="N400" s="40"/>
      <c r="O400" s="40"/>
      <c r="P400" s="40"/>
      <c r="Q400" s="40"/>
      <c r="R400" s="40"/>
    </row>
    <row r="401" spans="2:18" s="1" customFormat="1" ht="27" customHeight="1">
      <c r="B401" s="40"/>
      <c r="C401" s="261" t="s">
        <v>92</v>
      </c>
      <c r="E401" s="261" t="s">
        <v>109</v>
      </c>
      <c r="G401" s="261" t="s">
        <v>104</v>
      </c>
      <c r="H401" s="40"/>
      <c r="J401" s="50" t="s">
        <v>103</v>
      </c>
      <c r="K401" s="40"/>
      <c r="L401" s="40"/>
      <c r="M401" s="262"/>
      <c r="N401" s="40"/>
      <c r="O401" s="262"/>
      <c r="P401" s="40"/>
      <c r="Q401" s="40"/>
      <c r="R401" s="40"/>
    </row>
    <row r="402" spans="2:18" s="1" customFormat="1" ht="14.25">
      <c r="B402" s="40"/>
      <c r="C402" s="276">
        <v>0</v>
      </c>
      <c r="E402" s="136" t="s">
        <v>93</v>
      </c>
      <c r="G402" s="44" t="s">
        <v>167</v>
      </c>
      <c r="H402" s="136">
        <v>1</v>
      </c>
      <c r="J402" s="40"/>
      <c r="K402" s="40"/>
      <c r="L402" s="40"/>
      <c r="M402" s="263"/>
      <c r="N402" s="40"/>
      <c r="O402" s="263"/>
      <c r="P402" s="40"/>
      <c r="Q402" s="40"/>
      <c r="R402" s="40"/>
    </row>
    <row r="403" spans="2:18" s="1" customFormat="1" ht="14.25">
      <c r="B403" s="40"/>
      <c r="C403" s="276">
        <v>1</v>
      </c>
      <c r="E403" s="372" t="s">
        <v>244</v>
      </c>
      <c r="G403" s="44" t="s">
        <v>166</v>
      </c>
      <c r="H403" s="136">
        <v>0</v>
      </c>
      <c r="J403" s="44" t="s">
        <v>104</v>
      </c>
      <c r="K403" s="289" t="s">
        <v>167</v>
      </c>
      <c r="L403" s="40"/>
      <c r="M403" s="264"/>
      <c r="N403" s="40"/>
      <c r="O403" s="264"/>
      <c r="P403" s="40"/>
      <c r="Q403" s="40"/>
      <c r="R403" s="40"/>
    </row>
    <row r="404" spans="2:18" s="1" customFormat="1" ht="14.25">
      <c r="B404" s="40"/>
      <c r="C404" s="276">
        <v>2</v>
      </c>
      <c r="E404" s="372" t="s">
        <v>269</v>
      </c>
      <c r="G404" s="44" t="s">
        <v>168</v>
      </c>
      <c r="H404" s="136">
        <v>2</v>
      </c>
      <c r="I404" s="40"/>
      <c r="K404" s="290">
        <f>VLOOKUP(K403,G402:H404,2,FALSE)</f>
        <v>1</v>
      </c>
      <c r="L404" s="40"/>
      <c r="M404" s="264"/>
      <c r="N404" s="40"/>
      <c r="O404" s="264"/>
      <c r="P404" s="40"/>
      <c r="Q404" s="40"/>
      <c r="R404" s="40"/>
    </row>
    <row r="405" spans="2:18" s="1" customFormat="1" ht="14.25">
      <c r="B405" s="40"/>
      <c r="C405" s="276">
        <v>3</v>
      </c>
      <c r="E405" s="372" t="s">
        <v>270</v>
      </c>
      <c r="H405" s="40"/>
      <c r="I405" s="40"/>
      <c r="K405" s="291"/>
      <c r="L405" s="40"/>
      <c r="M405" s="264"/>
      <c r="N405" s="40"/>
      <c r="O405" s="264"/>
      <c r="P405" s="40"/>
      <c r="Q405" s="40"/>
      <c r="R405" s="40"/>
    </row>
    <row r="406" spans="2:18" s="1" customFormat="1" ht="14.25">
      <c r="B406" s="40"/>
      <c r="C406" s="276">
        <v>4</v>
      </c>
      <c r="E406" s="265"/>
      <c r="F406" s="40"/>
      <c r="G406" s="136"/>
      <c r="H406" s="40"/>
      <c r="I406" s="40"/>
      <c r="K406" s="291"/>
      <c r="L406" s="40"/>
      <c r="M406" s="264"/>
      <c r="N406" s="40"/>
      <c r="O406" s="264"/>
      <c r="P406" s="40"/>
      <c r="Q406" s="40"/>
      <c r="R406" s="40"/>
    </row>
    <row r="407" spans="2:18" s="1" customFormat="1" ht="14.25">
      <c r="B407" s="40"/>
      <c r="C407" s="276">
        <v>5</v>
      </c>
      <c r="E407" s="265" t="s">
        <v>174</v>
      </c>
      <c r="F407" s="40"/>
      <c r="G407" s="136"/>
      <c r="H407" s="40"/>
      <c r="J407" s="44" t="s">
        <v>105</v>
      </c>
      <c r="K407" s="290" t="s">
        <v>343</v>
      </c>
      <c r="L407" s="40"/>
      <c r="M407" s="264"/>
      <c r="N407" s="40"/>
      <c r="O407" s="264"/>
      <c r="P407" s="40"/>
      <c r="Q407" s="40"/>
      <c r="R407" s="40"/>
    </row>
    <row r="408" spans="2:18" s="1" customFormat="1" ht="14.25">
      <c r="B408" s="40"/>
      <c r="C408" s="276">
        <v>6</v>
      </c>
      <c r="E408" s="277" t="s">
        <v>171</v>
      </c>
      <c r="F408" s="136">
        <v>1</v>
      </c>
      <c r="G408" s="136"/>
      <c r="H408" s="40"/>
      <c r="J408" s="44" t="s">
        <v>106</v>
      </c>
      <c r="K408" s="290" t="s">
        <v>343</v>
      </c>
      <c r="L408" s="40"/>
      <c r="M408" s="264"/>
      <c r="N408" s="40"/>
      <c r="O408" s="264"/>
      <c r="P408" s="40"/>
      <c r="Q408" s="40"/>
      <c r="R408" s="40"/>
    </row>
    <row r="409" spans="2:18" s="1" customFormat="1" ht="14.25">
      <c r="B409" s="40"/>
      <c r="C409" s="276">
        <v>7</v>
      </c>
      <c r="E409" s="277" t="s">
        <v>172</v>
      </c>
      <c r="F409" s="136">
        <v>0</v>
      </c>
      <c r="G409" s="136"/>
      <c r="H409" s="40"/>
      <c r="K409" s="291"/>
      <c r="L409" s="40"/>
      <c r="M409" s="264"/>
      <c r="N409" s="40"/>
      <c r="O409" s="264"/>
      <c r="P409" s="40"/>
      <c r="Q409" s="40"/>
      <c r="R409" s="40"/>
    </row>
    <row r="410" spans="2:18" s="1" customFormat="1" ht="14.25">
      <c r="B410" s="40"/>
      <c r="C410" s="276">
        <v>8</v>
      </c>
      <c r="E410" s="277" t="s">
        <v>173</v>
      </c>
      <c r="F410" s="136">
        <v>2</v>
      </c>
      <c r="G410" s="136"/>
      <c r="H410" s="40"/>
      <c r="J410" s="44" t="s">
        <v>108</v>
      </c>
      <c r="K410" s="292"/>
      <c r="L410" s="40"/>
      <c r="M410" s="264"/>
      <c r="N410" s="40"/>
      <c r="O410" s="264"/>
      <c r="P410" s="40"/>
      <c r="Q410" s="40"/>
      <c r="R410" s="40"/>
    </row>
    <row r="411" spans="2:18" s="1" customFormat="1" ht="14.25">
      <c r="B411" s="40"/>
      <c r="C411" s="276">
        <v>9</v>
      </c>
      <c r="E411" s="265"/>
      <c r="F411" s="40"/>
      <c r="G411" s="136"/>
      <c r="H411" s="40"/>
      <c r="J411" s="44" t="s">
        <v>107</v>
      </c>
      <c r="K411" s="290"/>
      <c r="L411" s="40"/>
      <c r="M411" s="264"/>
      <c r="N411" s="40"/>
      <c r="O411" s="264"/>
      <c r="P411" s="40"/>
      <c r="Q411" s="40"/>
      <c r="R411" s="40"/>
    </row>
    <row r="412" spans="2:18" s="1" customFormat="1" ht="14.25">
      <c r="B412" s="40"/>
      <c r="C412" s="276">
        <v>10</v>
      </c>
      <c r="E412" s="265"/>
      <c r="F412" s="40"/>
      <c r="G412" s="136"/>
      <c r="H412" s="40"/>
      <c r="K412" s="291"/>
      <c r="L412" s="40"/>
      <c r="M412" s="264"/>
      <c r="N412" s="40"/>
      <c r="O412" s="264"/>
      <c r="P412" s="40"/>
      <c r="Q412" s="40"/>
      <c r="R412" s="40"/>
    </row>
    <row r="413" spans="2:18" s="1" customFormat="1" ht="14.25">
      <c r="B413" s="40"/>
      <c r="C413" s="276">
        <v>11</v>
      </c>
      <c r="E413" s="265"/>
      <c r="F413" s="40"/>
      <c r="G413" s="136"/>
      <c r="H413" s="40"/>
      <c r="J413" s="45" t="s">
        <v>174</v>
      </c>
      <c r="K413" s="292" t="s">
        <v>343</v>
      </c>
      <c r="L413" s="40"/>
      <c r="M413" s="264"/>
      <c r="N413" s="40"/>
      <c r="O413" s="264"/>
      <c r="P413" s="40"/>
      <c r="Q413" s="40"/>
      <c r="R413" s="40"/>
    </row>
    <row r="414" spans="2:18" s="1" customFormat="1" ht="14.25">
      <c r="B414" s="40"/>
      <c r="C414" s="276">
        <v>12</v>
      </c>
      <c r="E414" s="265"/>
      <c r="F414" s="40"/>
      <c r="G414" s="136"/>
      <c r="H414" s="40"/>
      <c r="K414" s="293" t="e">
        <f>VLOOKUP(K413,E408:F410,2,FALSE)</f>
        <v>#N/A</v>
      </c>
      <c r="L414" s="40"/>
      <c r="M414" s="264"/>
      <c r="N414" s="40"/>
      <c r="O414" s="264"/>
      <c r="P414" s="40"/>
      <c r="Q414" s="40"/>
      <c r="R414" s="40"/>
    </row>
    <row r="415" spans="3:15" s="1" customFormat="1" ht="14.25">
      <c r="C415" s="276">
        <f>C414+1</f>
        <v>13</v>
      </c>
      <c r="E415" s="265"/>
      <c r="G415" s="136"/>
      <c r="K415" s="291"/>
      <c r="M415" s="264"/>
      <c r="O415" s="264"/>
    </row>
    <row r="416" spans="3:15" s="1" customFormat="1" ht="14.25">
      <c r="C416" s="276">
        <f aca="true" t="shared" si="4" ref="C416:C422">C415+1</f>
        <v>14</v>
      </c>
      <c r="E416" s="265"/>
      <c r="G416" s="136"/>
      <c r="K416" s="293" t="s">
        <v>99</v>
      </c>
      <c r="M416" s="264"/>
      <c r="O416" s="264"/>
    </row>
    <row r="417" spans="3:15" s="1" customFormat="1" ht="14.25">
      <c r="C417" s="276">
        <f t="shared" si="4"/>
        <v>15</v>
      </c>
      <c r="E417" s="265"/>
      <c r="G417" s="136"/>
      <c r="M417" s="264"/>
      <c r="O417" s="264"/>
    </row>
    <row r="418" spans="3:15" s="1" customFormat="1" ht="14.25">
      <c r="C418" s="276">
        <f t="shared" si="4"/>
        <v>16</v>
      </c>
      <c r="E418" s="265"/>
      <c r="G418" s="136"/>
      <c r="M418" s="264"/>
      <c r="O418" s="264"/>
    </row>
    <row r="419" spans="3:15" s="1" customFormat="1" ht="14.25">
      <c r="C419" s="276">
        <f t="shared" si="4"/>
        <v>17</v>
      </c>
      <c r="E419" s="265"/>
      <c r="G419" s="136"/>
      <c r="M419" s="264"/>
      <c r="O419" s="264"/>
    </row>
    <row r="420" spans="3:15" s="1" customFormat="1" ht="14.25">
      <c r="C420" s="276">
        <f t="shared" si="4"/>
        <v>18</v>
      </c>
      <c r="E420" s="265"/>
      <c r="G420" s="136"/>
      <c r="M420" s="264"/>
      <c r="O420" s="264"/>
    </row>
    <row r="421" spans="3:15" s="1" customFormat="1" ht="14.25">
      <c r="C421" s="276">
        <f t="shared" si="4"/>
        <v>19</v>
      </c>
      <c r="E421" s="265"/>
      <c r="G421" s="136"/>
      <c r="I421" s="44"/>
      <c r="M421" s="264"/>
      <c r="O421" s="264"/>
    </row>
    <row r="422" spans="3:15" s="1" customFormat="1" ht="14.25">
      <c r="C422" s="276">
        <f t="shared" si="4"/>
        <v>20</v>
      </c>
      <c r="E422" s="265"/>
      <c r="G422" s="136"/>
      <c r="M422" s="264"/>
      <c r="O422" s="264"/>
    </row>
    <row r="423" s="1" customFormat="1" ht="14.25"/>
    <row r="424" s="1" customFormat="1" ht="14.25"/>
    <row r="425" s="1" customFormat="1" ht="14.25"/>
    <row r="426" s="1" customFormat="1" ht="14.25"/>
    <row r="427" s="1" customFormat="1" ht="14.25"/>
    <row r="428" s="1" customFormat="1" ht="14.25"/>
  </sheetData>
  <sheetProtection password="C7EC" sheet="1"/>
  <mergeCells count="94">
    <mergeCell ref="C10:H10"/>
    <mergeCell ref="C106:D106"/>
    <mergeCell ref="H106:I106"/>
    <mergeCell ref="C73:E73"/>
    <mergeCell ref="C93:F93"/>
    <mergeCell ref="H93:K93"/>
    <mergeCell ref="C94:D94"/>
    <mergeCell ref="H94:I94"/>
    <mergeCell ref="C105:F105"/>
    <mergeCell ref="H105:K105"/>
    <mergeCell ref="A1:L1"/>
    <mergeCell ref="A2:L2"/>
    <mergeCell ref="A3:E3"/>
    <mergeCell ref="F3:J3"/>
    <mergeCell ref="K3:L3"/>
    <mergeCell ref="C9:H9"/>
    <mergeCell ref="C11:H11"/>
    <mergeCell ref="C12:H12"/>
    <mergeCell ref="C13:H13"/>
    <mergeCell ref="C15:H15"/>
    <mergeCell ref="C35:G35"/>
    <mergeCell ref="C42:I42"/>
    <mergeCell ref="C17:H17"/>
    <mergeCell ref="C44:G44"/>
    <mergeCell ref="C49:I49"/>
    <mergeCell ref="E59:F59"/>
    <mergeCell ref="E65:F65"/>
    <mergeCell ref="B66:D66"/>
    <mergeCell ref="C68:E68"/>
    <mergeCell ref="B152:B157"/>
    <mergeCell ref="C69:E69"/>
    <mergeCell ref="C70:E70"/>
    <mergeCell ref="C71:E71"/>
    <mergeCell ref="C76:E76"/>
    <mergeCell ref="C77:E77"/>
    <mergeCell ref="C81:F81"/>
    <mergeCell ref="C75:E75"/>
    <mergeCell ref="H81:K81"/>
    <mergeCell ref="B117:D117"/>
    <mergeCell ref="B122:B125"/>
    <mergeCell ref="B127:B130"/>
    <mergeCell ref="D139:E139"/>
    <mergeCell ref="B145:B150"/>
    <mergeCell ref="C82:D82"/>
    <mergeCell ref="H82:I82"/>
    <mergeCell ref="B164:B165"/>
    <mergeCell ref="B170:B171"/>
    <mergeCell ref="B173:B174"/>
    <mergeCell ref="B188:D188"/>
    <mergeCell ref="B190:D190"/>
    <mergeCell ref="D196:E196"/>
    <mergeCell ref="D193:E193"/>
    <mergeCell ref="D198:E198"/>
    <mergeCell ref="D199:E199"/>
    <mergeCell ref="D200:E200"/>
    <mergeCell ref="B203:D203"/>
    <mergeCell ref="E214:F214"/>
    <mergeCell ref="E206:F206"/>
    <mergeCell ref="E207:G207"/>
    <mergeCell ref="B211:D211"/>
    <mergeCell ref="B224:D224"/>
    <mergeCell ref="E228:F228"/>
    <mergeCell ref="F234:H234"/>
    <mergeCell ref="J234:L234"/>
    <mergeCell ref="F235:G235"/>
    <mergeCell ref="J235:K235"/>
    <mergeCell ref="J219:K219"/>
    <mergeCell ref="E293:F293"/>
    <mergeCell ref="I293:J293"/>
    <mergeCell ref="B242:D242"/>
    <mergeCell ref="E245:F245"/>
    <mergeCell ref="B260:D260"/>
    <mergeCell ref="B273:D273"/>
    <mergeCell ref="B284:F284"/>
    <mergeCell ref="E292:G292"/>
    <mergeCell ref="I292:K292"/>
    <mergeCell ref="B251:G251"/>
    <mergeCell ref="K332:L332"/>
    <mergeCell ref="B349:D349"/>
    <mergeCell ref="B356:D356"/>
    <mergeCell ref="B365:F365"/>
    <mergeCell ref="H300:H301"/>
    <mergeCell ref="E303:F303"/>
    <mergeCell ref="B309:D309"/>
    <mergeCell ref="B312:D312"/>
    <mergeCell ref="E315:F315"/>
    <mergeCell ref="B327:D327"/>
    <mergeCell ref="H327:I327"/>
    <mergeCell ref="E373:F373"/>
    <mergeCell ref="I373:J373"/>
    <mergeCell ref="B385:D385"/>
    <mergeCell ref="B399:D399"/>
    <mergeCell ref="E330:F330"/>
    <mergeCell ref="H332:I332"/>
  </mergeCells>
  <printOptions/>
  <pageMargins left="0.7" right="0.7" top="0.75" bottom="0.75" header="0.3" footer="0.3"/>
  <pageSetup horizontalDpi="600" verticalDpi="600" orientation="portrait" paperSize="9" scale="62" r:id="rId1"/>
  <ignoredErrors>
    <ignoredError sqref="K40 H330:L331 J337:K337 I374:J381 J148:K149 F139:G139 J134:K134 J160:K163 J206:K208 F199:G200 J214:K218 E219:E220 J265:K265 H271:I271 J276:K276 J287:K287 I294:L301 F304:F305 G300 J228:K228 J9:K13 J43:K44 C415:C422 I183 F194:G196 F68:F71 F198 K404:K405 K414 F73 K61 J27:K27 J29:K31 K231 J50:K50 K230 J15:K23 J151:K152 J155:K156 J166:K169 J172:K172 J175:K186 J220:K223 K219 J329 J54:K56 J60:K60 K59 H334 J333 H332:J332 L332 J25:K25 J33:K37 J267:K267 J58:K58 J57 K264 J278:K278 K277 J174 J334:L334 K289 J52:K52 K51 K42 K28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
  <cp:lastModifiedBy>PricewaterhouseCoopers</cp:lastModifiedBy>
  <cp:lastPrinted>2012-02-14T15:17:06Z</cp:lastPrinted>
  <dcterms:created xsi:type="dcterms:W3CDTF">2010-11-10T09:23:38Z</dcterms:created>
  <dcterms:modified xsi:type="dcterms:W3CDTF">2012-02-24T17:35:28Z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